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BikeWinnipeg\BW 2022 financial\"/>
    </mc:Choice>
  </mc:AlternateContent>
  <xr:revisionPtr revIDLastSave="0" documentId="13_ncr:1_{D18E0C64-9F38-49AB-9C92-A093748C4B3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come Stmt v.2" sheetId="8" r:id="rId1"/>
    <sheet name="Summary" sheetId="9" r:id="rId2"/>
    <sheet name="Income Stmt v.1" sheetId="1" r:id="rId3"/>
    <sheet name="CR budget" sheetId="7" r:id="rId4"/>
  </sheets>
  <externalReferences>
    <externalReference r:id="rId5"/>
    <externalReference r:id="rId6"/>
  </externalReferences>
  <definedNames>
    <definedName name="ACUgrant" localSheetId="1">Summary!$E$49</definedName>
    <definedName name="ACUgrant">[1]Summary!$E$21</definedName>
    <definedName name="AuditRevenue" localSheetId="1">Summary!$E$54</definedName>
    <definedName name="AuditRevenue">[1]Summary!$E$26</definedName>
    <definedName name="BaseSalary" localSheetId="1">Summary!$F$282</definedName>
    <definedName name="BaseSalary">[1]Summary!$Q$1</definedName>
    <definedName name="BESTgrant" localSheetId="1">Summary!$E$46</definedName>
    <definedName name="BESTgrant">[1]Summary!$E$18</definedName>
    <definedName name="BVrevenue" localSheetId="1">Summary!$E$52</definedName>
    <definedName name="BVrevenue">[1]Summary!$E$24</definedName>
    <definedName name="CSJgrant" localSheetId="1">Summary!$E$44</definedName>
    <definedName name="CSJgrant">[1]Summary!$E$15</definedName>
    <definedName name="DMIgrant" localSheetId="1">Summary!$E$50</definedName>
    <definedName name="DMIgrant">[1]Summary!$E$22</definedName>
    <definedName name="DoorsOpenGrant" localSheetId="1">Summary!$E$47</definedName>
    <definedName name="DoorsOpenGrant">[1]Summary!$E$19</definedName>
    <definedName name="HeritageGrant" localSheetId="1">Summary!$E$45</definedName>
    <definedName name="HeritageGrant">[1]Summary!$E$17</definedName>
    <definedName name="_xlnm.Print_Area" localSheetId="2">'Income Stmt v.1'!$A$1:$P$92</definedName>
    <definedName name="_xlnm.Print_Area" localSheetId="0">'Income Stmt v.2'!$A$1:$S$102</definedName>
    <definedName name="_xlnm.Print_Titles" localSheetId="2">'Income Stmt v.1'!$1:$8</definedName>
    <definedName name="_xlnm.Print_Titles" localSheetId="0">'Income Stmt v.2'!$1:$8</definedName>
    <definedName name="RackRevenue" localSheetId="1">Summary!$E$55</definedName>
    <definedName name="RackRevenue">[1]Summary!$E$27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5" i="8" l="1"/>
  <c r="N98" i="8"/>
  <c r="N97" i="8"/>
  <c r="N96" i="8"/>
  <c r="N91" i="8"/>
  <c r="N90" i="8"/>
  <c r="N85" i="8"/>
  <c r="N84" i="8"/>
  <c r="N79" i="8"/>
  <c r="N78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4" i="8"/>
  <c r="N13" i="8"/>
  <c r="N12" i="8"/>
  <c r="N11" i="8"/>
  <c r="N10" i="8"/>
  <c r="S100" i="8"/>
  <c r="S81" i="8"/>
  <c r="S87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4" i="8"/>
  <c r="S13" i="8"/>
  <c r="S12" i="8"/>
  <c r="S11" i="8"/>
  <c r="S10" i="8"/>
  <c r="E28" i="1"/>
  <c r="S98" i="8"/>
  <c r="S97" i="8"/>
  <c r="S96" i="8"/>
  <c r="S91" i="8"/>
  <c r="S90" i="8"/>
  <c r="S85" i="8"/>
  <c r="S84" i="8"/>
  <c r="S79" i="8"/>
  <c r="S78" i="8"/>
  <c r="G348" i="9"/>
  <c r="G347" i="9"/>
  <c r="F347" i="9"/>
  <c r="G346" i="9"/>
  <c r="F346" i="9"/>
  <c r="G345" i="9"/>
  <c r="F345" i="9"/>
  <c r="G344" i="9"/>
  <c r="F344" i="9"/>
  <c r="G343" i="9"/>
  <c r="F343" i="9"/>
  <c r="G342" i="9"/>
  <c r="F342" i="9"/>
  <c r="G341" i="9"/>
  <c r="F341" i="9"/>
  <c r="F337" i="9"/>
  <c r="F336" i="9"/>
  <c r="F335" i="9"/>
  <c r="F334" i="9"/>
  <c r="F333" i="9"/>
  <c r="F332" i="9"/>
  <c r="F331" i="9"/>
  <c r="F309" i="9"/>
  <c r="F297" i="9"/>
  <c r="F296" i="9"/>
  <c r="O295" i="9"/>
  <c r="O294" i="9"/>
  <c r="F294" i="9"/>
  <c r="F291" i="9"/>
  <c r="O285" i="9"/>
  <c r="F285" i="9"/>
  <c r="O284" i="9"/>
  <c r="F284" i="9"/>
  <c r="F300" i="9" s="1"/>
  <c r="O283" i="9"/>
  <c r="O282" i="9"/>
  <c r="O286" i="9" s="1"/>
  <c r="G272" i="9"/>
  <c r="G273" i="9" s="1"/>
  <c r="D247" i="9"/>
  <c r="D246" i="9"/>
  <c r="F241" i="9"/>
  <c r="F240" i="9"/>
  <c r="F239" i="9"/>
  <c r="F238" i="9"/>
  <c r="F237" i="9"/>
  <c r="F236" i="9"/>
  <c r="F235" i="9"/>
  <c r="F233" i="9"/>
  <c r="F232" i="9"/>
  <c r="F231" i="9"/>
  <c r="F218" i="9"/>
  <c r="F221" i="9" s="1"/>
  <c r="F204" i="9"/>
  <c r="F209" i="9" s="1"/>
  <c r="F203" i="9"/>
  <c r="F207" i="9" s="1"/>
  <c r="F196" i="9"/>
  <c r="F193" i="9"/>
  <c r="F182" i="9"/>
  <c r="F174" i="9"/>
  <c r="F176" i="9" s="1"/>
  <c r="F171" i="9"/>
  <c r="F165" i="9"/>
  <c r="F157" i="9"/>
  <c r="F158" i="9" s="1"/>
  <c r="F143" i="9"/>
  <c r="Q139" i="9"/>
  <c r="Q138" i="9"/>
  <c r="P138" i="9"/>
  <c r="Q132" i="9"/>
  <c r="Q130" i="9"/>
  <c r="M130" i="9"/>
  <c r="K130" i="9"/>
  <c r="I130" i="9"/>
  <c r="H130" i="9"/>
  <c r="E128" i="9"/>
  <c r="F127" i="9" s="1"/>
  <c r="F312" i="9" s="1"/>
  <c r="G127" i="9"/>
  <c r="E124" i="9"/>
  <c r="F247" i="9" s="1"/>
  <c r="E123" i="9"/>
  <c r="F246" i="9" s="1"/>
  <c r="F249" i="9" s="1"/>
  <c r="F122" i="9"/>
  <c r="E105" i="9"/>
  <c r="E96" i="9"/>
  <c r="O87" i="9"/>
  <c r="P86" i="9"/>
  <c r="E86" i="9"/>
  <c r="F230" i="9" s="1"/>
  <c r="F244" i="9" s="1"/>
  <c r="M85" i="9"/>
  <c r="L85" i="9"/>
  <c r="L130" i="9" s="1"/>
  <c r="K85" i="9"/>
  <c r="J85" i="9"/>
  <c r="J130" i="9" s="1"/>
  <c r="I85" i="9"/>
  <c r="H85" i="9"/>
  <c r="G85" i="9"/>
  <c r="G130" i="9" s="1"/>
  <c r="F85" i="9"/>
  <c r="F348" i="9" s="1"/>
  <c r="L82" i="9"/>
  <c r="K82" i="9"/>
  <c r="K132" i="9" s="1"/>
  <c r="C333" i="9" s="1"/>
  <c r="E80" i="9"/>
  <c r="E79" i="9"/>
  <c r="E78" i="9"/>
  <c r="M77" i="9"/>
  <c r="L77" i="9"/>
  <c r="K77" i="9"/>
  <c r="J77" i="9"/>
  <c r="I77" i="9"/>
  <c r="H77" i="9"/>
  <c r="G77" i="9"/>
  <c r="F77" i="9"/>
  <c r="R138" i="9" s="1"/>
  <c r="E73" i="9"/>
  <c r="O76" i="9" s="1"/>
  <c r="E71" i="9"/>
  <c r="E70" i="9"/>
  <c r="M69" i="9"/>
  <c r="L69" i="9"/>
  <c r="K69" i="9"/>
  <c r="J69" i="9"/>
  <c r="I69" i="9"/>
  <c r="H69" i="9"/>
  <c r="G69" i="9"/>
  <c r="G82" i="9" s="1"/>
  <c r="E66" i="9"/>
  <c r="E65" i="9"/>
  <c r="E64" i="9"/>
  <c r="M63" i="9"/>
  <c r="M82" i="9" s="1"/>
  <c r="M132" i="9" s="1"/>
  <c r="C331" i="9" s="1"/>
  <c r="L63" i="9"/>
  <c r="K63" i="9"/>
  <c r="J63" i="9"/>
  <c r="J82" i="9" s="1"/>
  <c r="J132" i="9" s="1"/>
  <c r="C334" i="9" s="1"/>
  <c r="I63" i="9"/>
  <c r="I82" i="9" s="1"/>
  <c r="I132" i="9" s="1"/>
  <c r="C335" i="9" s="1"/>
  <c r="H63" i="9"/>
  <c r="H82" i="9" s="1"/>
  <c r="H132" i="9" s="1"/>
  <c r="C336" i="9" s="1"/>
  <c r="G63" i="9"/>
  <c r="M59" i="9"/>
  <c r="L59" i="9"/>
  <c r="K58" i="9"/>
  <c r="K59" i="9" s="1"/>
  <c r="I58" i="9"/>
  <c r="G58" i="9"/>
  <c r="E57" i="9"/>
  <c r="F56" i="9"/>
  <c r="E53" i="9"/>
  <c r="F51" i="9" s="1"/>
  <c r="J51" i="9"/>
  <c r="J59" i="9" s="1"/>
  <c r="I51" i="9"/>
  <c r="H51" i="9"/>
  <c r="G51" i="9"/>
  <c r="G59" i="9" s="1"/>
  <c r="E44" i="9"/>
  <c r="F290" i="9" s="1"/>
  <c r="H42" i="9"/>
  <c r="H59" i="9" s="1"/>
  <c r="G42" i="9"/>
  <c r="F42" i="9"/>
  <c r="E40" i="9"/>
  <c r="F39" i="9"/>
  <c r="I36" i="9"/>
  <c r="I59" i="9" s="1"/>
  <c r="F36" i="9"/>
  <c r="F311" i="9" s="1"/>
  <c r="P35" i="9"/>
  <c r="P32" i="9"/>
  <c r="F32" i="9"/>
  <c r="G23" i="9"/>
  <c r="E98" i="8"/>
  <c r="E28" i="8"/>
  <c r="E115" i="8"/>
  <c r="E119" i="8" s="1"/>
  <c r="E113" i="8"/>
  <c r="E117" i="8"/>
  <c r="E109" i="8"/>
  <c r="E31" i="8"/>
  <c r="F35" i="8" s="1"/>
  <c r="E26" i="8"/>
  <c r="E27" i="8"/>
  <c r="F100" i="8"/>
  <c r="Q93" i="8"/>
  <c r="L93" i="8"/>
  <c r="I93" i="8"/>
  <c r="F93" i="8"/>
  <c r="P11" i="8"/>
  <c r="P10" i="8"/>
  <c r="F87" i="8"/>
  <c r="F81" i="8"/>
  <c r="E70" i="8"/>
  <c r="F74" i="8" s="1"/>
  <c r="P98" i="8"/>
  <c r="Q100" i="8" s="1"/>
  <c r="K98" i="8"/>
  <c r="H98" i="8"/>
  <c r="I100" i="8" s="1"/>
  <c r="K96" i="8"/>
  <c r="Q87" i="8"/>
  <c r="L87" i="8"/>
  <c r="I87" i="8"/>
  <c r="Q81" i="8"/>
  <c r="I81" i="8"/>
  <c r="K79" i="8"/>
  <c r="L81" i="8" s="1"/>
  <c r="L74" i="8"/>
  <c r="H70" i="8"/>
  <c r="I74" i="8" s="1"/>
  <c r="P44" i="8"/>
  <c r="Q74" i="8" s="1"/>
  <c r="H29" i="8"/>
  <c r="K28" i="8"/>
  <c r="H28" i="8"/>
  <c r="P27" i="8"/>
  <c r="H27" i="8"/>
  <c r="P26" i="8"/>
  <c r="K26" i="8"/>
  <c r="H26" i="8"/>
  <c r="K25" i="8"/>
  <c r="P24" i="8"/>
  <c r="K24" i="8"/>
  <c r="H24" i="8"/>
  <c r="K21" i="8"/>
  <c r="K20" i="8"/>
  <c r="P14" i="8"/>
  <c r="L16" i="8"/>
  <c r="H109" i="8"/>
  <c r="H113" i="8" s="1"/>
  <c r="M110" i="7"/>
  <c r="O107" i="7"/>
  <c r="N107" i="7"/>
  <c r="L107" i="7"/>
  <c r="K107" i="7"/>
  <c r="J107" i="7"/>
  <c r="I107" i="7"/>
  <c r="H107" i="7"/>
  <c r="G107" i="7"/>
  <c r="P107" i="7" s="1"/>
  <c r="F107" i="7"/>
  <c r="E107" i="7"/>
  <c r="D107" i="7"/>
  <c r="C107" i="7"/>
  <c r="O103" i="7"/>
  <c r="L103" i="7"/>
  <c r="K103" i="7"/>
  <c r="J103" i="7"/>
  <c r="I103" i="7"/>
  <c r="H103" i="7"/>
  <c r="G103" i="7"/>
  <c r="F103" i="7"/>
  <c r="E103" i="7"/>
  <c r="D103" i="7"/>
  <c r="C103" i="7"/>
  <c r="N100" i="7"/>
  <c r="N103" i="7" s="1"/>
  <c r="O96" i="7"/>
  <c r="N96" i="7"/>
  <c r="L96" i="7"/>
  <c r="K96" i="7"/>
  <c r="J96" i="7"/>
  <c r="I96" i="7"/>
  <c r="H96" i="7"/>
  <c r="G96" i="7"/>
  <c r="P96" i="7" s="1"/>
  <c r="F96" i="7"/>
  <c r="E96" i="7"/>
  <c r="D96" i="7"/>
  <c r="C96" i="7"/>
  <c r="P92" i="7"/>
  <c r="O92" i="7"/>
  <c r="N92" i="7"/>
  <c r="L92" i="7"/>
  <c r="K92" i="7"/>
  <c r="J92" i="7"/>
  <c r="I92" i="7"/>
  <c r="H92" i="7"/>
  <c r="G92" i="7"/>
  <c r="F92" i="7"/>
  <c r="E92" i="7"/>
  <c r="D92" i="7"/>
  <c r="C92" i="7"/>
  <c r="P85" i="7"/>
  <c r="O85" i="7"/>
  <c r="N85" i="7"/>
  <c r="L85" i="7"/>
  <c r="K85" i="7"/>
  <c r="J85" i="7"/>
  <c r="I85" i="7"/>
  <c r="H85" i="7"/>
  <c r="G85" i="7"/>
  <c r="F85" i="7"/>
  <c r="E85" i="7"/>
  <c r="D85" i="7"/>
  <c r="C85" i="7"/>
  <c r="O76" i="7"/>
  <c r="O110" i="7" s="1"/>
  <c r="O113" i="7" s="1"/>
  <c r="N76" i="7"/>
  <c r="P76" i="7" s="1"/>
  <c r="L76" i="7"/>
  <c r="K76" i="7"/>
  <c r="J76" i="7"/>
  <c r="I76" i="7"/>
  <c r="H76" i="7"/>
  <c r="G76" i="7"/>
  <c r="F76" i="7"/>
  <c r="E76" i="7"/>
  <c r="D76" i="7"/>
  <c r="C76" i="7"/>
  <c r="O70" i="7"/>
  <c r="N70" i="7"/>
  <c r="L70" i="7"/>
  <c r="K70" i="7"/>
  <c r="J70" i="7"/>
  <c r="I70" i="7"/>
  <c r="H70" i="7"/>
  <c r="G70" i="7"/>
  <c r="P70" i="7" s="1"/>
  <c r="F70" i="7"/>
  <c r="E70" i="7"/>
  <c r="D70" i="7"/>
  <c r="C70" i="7"/>
  <c r="O60" i="7"/>
  <c r="N60" i="7"/>
  <c r="L60" i="7"/>
  <c r="K60" i="7"/>
  <c r="J60" i="7"/>
  <c r="I60" i="7"/>
  <c r="H60" i="7"/>
  <c r="G60" i="7"/>
  <c r="P60" i="7" s="1"/>
  <c r="F60" i="7"/>
  <c r="E60" i="7"/>
  <c r="D60" i="7"/>
  <c r="C60" i="7"/>
  <c r="O53" i="7"/>
  <c r="L53" i="7"/>
  <c r="K53" i="7"/>
  <c r="J53" i="7"/>
  <c r="I53" i="7"/>
  <c r="H53" i="7"/>
  <c r="G53" i="7"/>
  <c r="P53" i="7" s="1"/>
  <c r="F53" i="7"/>
  <c r="F110" i="7" s="1"/>
  <c r="F113" i="7" s="1"/>
  <c r="E53" i="7"/>
  <c r="D53" i="7"/>
  <c r="C53" i="7"/>
  <c r="N50" i="7"/>
  <c r="N34" i="7"/>
  <c r="N29" i="7"/>
  <c r="M28" i="7"/>
  <c r="M20" i="7"/>
  <c r="N23" i="7" s="1"/>
  <c r="N53" i="7" s="1"/>
  <c r="O17" i="7"/>
  <c r="L17" i="7"/>
  <c r="L110" i="7" s="1"/>
  <c r="L113" i="7" s="1"/>
  <c r="K17" i="7"/>
  <c r="K110" i="7" s="1"/>
  <c r="K113" i="7" s="1"/>
  <c r="J17" i="7"/>
  <c r="J110" i="7" s="1"/>
  <c r="J113" i="7" s="1"/>
  <c r="I17" i="7"/>
  <c r="I110" i="7" s="1"/>
  <c r="I113" i="7" s="1"/>
  <c r="H17" i="7"/>
  <c r="H110" i="7" s="1"/>
  <c r="H113" i="7" s="1"/>
  <c r="F17" i="7"/>
  <c r="E17" i="7"/>
  <c r="E110" i="7" s="1"/>
  <c r="E113" i="7" s="1"/>
  <c r="D17" i="7"/>
  <c r="D110" i="7" s="1"/>
  <c r="D113" i="7" s="1"/>
  <c r="C17" i="7"/>
  <c r="C110" i="7" s="1"/>
  <c r="C113" i="7" s="1"/>
  <c r="N11" i="7"/>
  <c r="N17" i="7" s="1"/>
  <c r="N110" i="7" s="1"/>
  <c r="F63" i="9" l="1"/>
  <c r="F82" i="9" s="1"/>
  <c r="O298" i="9"/>
  <c r="M139" i="9"/>
  <c r="F59" i="9"/>
  <c r="F69" i="9"/>
  <c r="R132" i="9" s="1"/>
  <c r="F298" i="9"/>
  <c r="F192" i="9"/>
  <c r="F199" i="9" s="1"/>
  <c r="B334" i="9"/>
  <c r="D334" i="9" s="1"/>
  <c r="J139" i="9"/>
  <c r="B338" i="9"/>
  <c r="F135" i="9"/>
  <c r="P134" i="9"/>
  <c r="L60" i="9"/>
  <c r="K60" i="9"/>
  <c r="J60" i="9"/>
  <c r="F20" i="9"/>
  <c r="I60" i="9"/>
  <c r="H60" i="9"/>
  <c r="G60" i="9"/>
  <c r="F60" i="9"/>
  <c r="F307" i="9"/>
  <c r="F250" i="9"/>
  <c r="I139" i="9"/>
  <c r="B335" i="9"/>
  <c r="D335" i="9" s="1"/>
  <c r="B333" i="9"/>
  <c r="D333" i="9" s="1"/>
  <c r="K139" i="9"/>
  <c r="L139" i="9"/>
  <c r="L132" i="9"/>
  <c r="C332" i="9" s="1"/>
  <c r="H139" i="9"/>
  <c r="B336" i="9"/>
  <c r="D336" i="9" s="1"/>
  <c r="G22" i="9"/>
  <c r="P132" i="9"/>
  <c r="F188" i="9"/>
  <c r="G21" i="9"/>
  <c r="G132" i="9"/>
  <c r="B337" i="9"/>
  <c r="G20" i="9"/>
  <c r="F211" i="9"/>
  <c r="B331" i="9"/>
  <c r="D331" i="9" s="1"/>
  <c r="F310" i="9"/>
  <c r="F286" i="9"/>
  <c r="F130" i="9"/>
  <c r="B332" i="9"/>
  <c r="F162" i="9"/>
  <c r="F166" i="9" s="1"/>
  <c r="F316" i="9" s="1"/>
  <c r="F185" i="9"/>
  <c r="F315" i="9"/>
  <c r="S93" i="8"/>
  <c r="N93" i="8"/>
  <c r="I35" i="8"/>
  <c r="S74" i="8"/>
  <c r="H115" i="8"/>
  <c r="H119" i="8" s="1"/>
  <c r="N87" i="8"/>
  <c r="Q35" i="8"/>
  <c r="S35" i="8" s="1"/>
  <c r="N81" i="8"/>
  <c r="L100" i="8"/>
  <c r="I16" i="8"/>
  <c r="N16" i="8" s="1"/>
  <c r="F16" i="8"/>
  <c r="F37" i="8" s="1"/>
  <c r="F102" i="8" s="1"/>
  <c r="F106" i="8" s="1"/>
  <c r="L35" i="8"/>
  <c r="L37" i="8" s="1"/>
  <c r="Q16" i="8"/>
  <c r="N100" i="8"/>
  <c r="N112" i="7"/>
  <c r="N113" i="7" s="1"/>
  <c r="N111" i="7"/>
  <c r="P103" i="7"/>
  <c r="G17" i="7"/>
  <c r="E66" i="1"/>
  <c r="E26" i="1"/>
  <c r="R130" i="9" l="1"/>
  <c r="O135" i="9"/>
  <c r="F21" i="9"/>
  <c r="F132" i="9"/>
  <c r="C337" i="9"/>
  <c r="D337" i="9" s="1"/>
  <c r="G137" i="9"/>
  <c r="F313" i="9"/>
  <c r="D332" i="9"/>
  <c r="R139" i="9"/>
  <c r="P130" i="9"/>
  <c r="F22" i="9"/>
  <c r="L102" i="8"/>
  <c r="L106" i="8" s="1"/>
  <c r="I37" i="8"/>
  <c r="I102" i="8" s="1"/>
  <c r="Q37" i="8"/>
  <c r="Q102" i="8" s="1"/>
  <c r="Q106" i="8" s="1"/>
  <c r="S16" i="8"/>
  <c r="G110" i="7"/>
  <c r="G113" i="7" s="1"/>
  <c r="P113" i="7" s="1"/>
  <c r="P17" i="7"/>
  <c r="E105" i="1"/>
  <c r="E109" i="1" s="1"/>
  <c r="E103" i="1"/>
  <c r="E99" i="1"/>
  <c r="E88" i="1"/>
  <c r="F70" i="1"/>
  <c r="E25" i="1"/>
  <c r="F90" i="1"/>
  <c r="E10" i="1"/>
  <c r="E23" i="1"/>
  <c r="E27" i="1"/>
  <c r="C338" i="9" l="1"/>
  <c r="D338" i="9" s="1"/>
  <c r="F134" i="9"/>
  <c r="F23" i="9" s="1"/>
  <c r="F314" i="9"/>
  <c r="G24" i="9"/>
  <c r="G139" i="9"/>
  <c r="N37" i="8"/>
  <c r="S37" i="8"/>
  <c r="I106" i="8"/>
  <c r="S102" i="8"/>
  <c r="N102" i="8"/>
  <c r="N90" i="1"/>
  <c r="M88" i="1"/>
  <c r="N83" i="1"/>
  <c r="N77" i="1"/>
  <c r="N70" i="1"/>
  <c r="M42" i="1"/>
  <c r="N33" i="1"/>
  <c r="M26" i="1"/>
  <c r="M25" i="1"/>
  <c r="M23" i="1"/>
  <c r="M13" i="1"/>
  <c r="M10" i="1"/>
  <c r="N15" i="1" s="1"/>
  <c r="N35" i="1" s="1"/>
  <c r="N92" i="1" s="1"/>
  <c r="N96" i="1" s="1"/>
  <c r="F317" i="9" l="1"/>
  <c r="A319" i="9" s="1"/>
  <c r="G314" i="9"/>
  <c r="G309" i="9"/>
  <c r="G312" i="9"/>
  <c r="G311" i="9"/>
  <c r="G310" i="9"/>
  <c r="G147" i="9"/>
  <c r="G26" i="9" s="1"/>
  <c r="G25" i="9"/>
  <c r="F137" i="9"/>
  <c r="G313" i="9"/>
  <c r="P22" i="1"/>
  <c r="K22" i="1"/>
  <c r="F142" i="9" l="1"/>
  <c r="F24" i="9"/>
  <c r="F139" i="9"/>
  <c r="P13" i="1"/>
  <c r="K13" i="1"/>
  <c r="F25" i="9" l="1"/>
  <c r="P139" i="9"/>
  <c r="F147" i="9"/>
  <c r="F26" i="9" s="1"/>
  <c r="F144" i="9"/>
  <c r="H10" i="1"/>
  <c r="P87" i="1" l="1"/>
  <c r="K87" i="1"/>
  <c r="P29" i="1" l="1"/>
  <c r="K29" i="1"/>
  <c r="P31" i="1"/>
  <c r="P30" i="1"/>
  <c r="K31" i="1"/>
  <c r="K30" i="1"/>
  <c r="H75" i="1"/>
  <c r="I77" i="1" s="1"/>
  <c r="H86" i="1"/>
  <c r="H20" i="1"/>
  <c r="H19" i="1"/>
  <c r="H27" i="1"/>
  <c r="H25" i="1"/>
  <c r="H23" i="1"/>
  <c r="H24" i="1"/>
  <c r="H88" i="1"/>
  <c r="I15" i="1"/>
  <c r="I83" i="1"/>
  <c r="I90" i="1" l="1"/>
  <c r="I33" i="1"/>
  <c r="I35" i="1" s="1"/>
  <c r="P70" i="1" l="1"/>
  <c r="K19" i="1" l="1"/>
  <c r="K20" i="1"/>
  <c r="K21" i="1"/>
  <c r="K24" i="1"/>
  <c r="K28" i="1"/>
  <c r="K18" i="1"/>
  <c r="P28" i="1"/>
  <c r="P23" i="1"/>
  <c r="P21" i="1"/>
  <c r="P20" i="1"/>
  <c r="P18" i="1"/>
  <c r="K74" i="1" l="1"/>
  <c r="P74" i="1"/>
  <c r="I70" i="1"/>
  <c r="I92" i="1" l="1"/>
  <c r="I96" i="1" s="1"/>
  <c r="F33" i="1"/>
  <c r="P26" i="1"/>
  <c r="K27" i="1" l="1"/>
  <c r="K26" i="1"/>
  <c r="K25" i="1"/>
  <c r="K23" i="1"/>
  <c r="P27" i="1" l="1"/>
  <c r="P25" i="1"/>
  <c r="P24" i="1"/>
  <c r="P19" i="1"/>
  <c r="K11" i="1" l="1"/>
  <c r="K10" i="1" l="1"/>
  <c r="F77" i="1"/>
  <c r="P75" i="1"/>
  <c r="K75" i="1"/>
  <c r="P77" i="1" l="1"/>
  <c r="K77" i="1"/>
  <c r="K81" i="1"/>
  <c r="K80" i="1"/>
  <c r="P88" i="1"/>
  <c r="P86" i="1"/>
  <c r="P81" i="1"/>
  <c r="P80" i="1"/>
  <c r="K88" i="1"/>
  <c r="K86" i="1"/>
  <c r="K90" i="1" l="1"/>
  <c r="K83" i="1"/>
  <c r="P12" i="1"/>
  <c r="P11" i="1"/>
  <c r="P10" i="1"/>
  <c r="K12" i="1"/>
  <c r="F15" i="1"/>
  <c r="P90" i="1"/>
  <c r="F83" i="1"/>
  <c r="P83" i="1" l="1"/>
  <c r="P15" i="1"/>
  <c r="K15" i="1"/>
  <c r="K33" i="1" l="1"/>
  <c r="P33" i="1"/>
  <c r="F35" i="1"/>
  <c r="F92" i="1" s="1"/>
  <c r="P92" i="1" l="1"/>
  <c r="K92" i="1"/>
  <c r="P35" i="1"/>
  <c r="K35" i="1"/>
  <c r="F9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Misty Bromley</author>
    <author>Emilio Torres</author>
  </authors>
  <commentList>
    <comment ref="E11" authorId="0" shapeId="0" xr:uid="{9CD90E10-8193-42E3-9F00-99F423F3402B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Not realistic</t>
        </r>
      </text>
    </comment>
    <comment ref="E12" authorId="0" shapeId="0" xr:uid="{14A00A86-551B-4860-A433-99CA589C774A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Not realistic</t>
        </r>
      </text>
    </comment>
    <comment ref="E19" authorId="0" shapeId="0" xr:uid="{7ECDFE42-B69E-4B3F-8261-AD3ABC3CECE3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Not sure how this was arrived at.</t>
        </r>
      </text>
    </comment>
    <comment ref="E26" authorId="0" shapeId="0" xr:uid="{66B88941-530F-4AC5-9B57-191B2E60D4F9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AGM, Bank charges, Dreamhost, Insurance, Other G&amp;A, and Paypal fees expense accounts in this cell.
</t>
        </r>
      </text>
    </comment>
    <comment ref="H26" authorId="0" shapeId="0" xr:uid="{34B16AB1-D8CA-4464-BF75-9628D74E9D4B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AGM, Bank charges, Dreamhost, Insurance, Other G&amp;A, and Paypal fees expense accounts in this cell.
</t>
        </r>
      </text>
    </comment>
    <comment ref="P26" authorId="0" shapeId="0" xr:uid="{CDBFF178-FB16-4F1C-92A0-6BFF31CFF010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AGM, Bank charges, Dreamhost, Insurance, Other G&amp;A, and Paypal fees expense accounts in this cell.
</t>
        </r>
      </text>
    </comment>
    <comment ref="H27" authorId="0" shapeId="0" xr:uid="{D928E4D2-5643-4E0F-9143-2B4B10D6E257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And need to increase the donation line accordingly.</t>
        </r>
      </text>
    </comment>
    <comment ref="E28" authorId="0" shapeId="0" xr:uid="{A2EE78B5-4A7A-4901-9B13-D8635664E8D1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Some of which will be funded by grant revenue.</t>
        </r>
      </text>
    </comment>
    <comment ref="E95" authorId="0" shapeId="0" xr:uid="{A1512C7A-1573-45FA-A0F7-08D58777F512}">
      <text>
        <r>
          <rPr>
            <b/>
            <sz val="9"/>
            <color indexed="81"/>
            <rFont val="Tahoma"/>
            <charset val="1"/>
          </rPr>
          <t>Misty Bromley:</t>
        </r>
        <r>
          <rPr>
            <sz val="9"/>
            <color indexed="81"/>
            <rFont val="Tahoma"/>
            <charset val="1"/>
          </rPr>
          <t xml:space="preserve">
Fall concert</t>
        </r>
      </text>
    </comment>
    <comment ref="H95" authorId="0" shapeId="0" xr:uid="{B9777B27-2FB8-4AD3-937D-AE6556BFB58B}">
      <text>
        <r>
          <rPr>
            <b/>
            <sz val="9"/>
            <color indexed="81"/>
            <rFont val="Tahoma"/>
            <charset val="1"/>
          </rPr>
          <t>Misty Bromley:</t>
        </r>
        <r>
          <rPr>
            <sz val="9"/>
            <color indexed="81"/>
            <rFont val="Tahoma"/>
            <charset val="1"/>
          </rPr>
          <t xml:space="preserve">
Fall concert</t>
        </r>
      </text>
    </comment>
    <comment ref="E96" authorId="0" shapeId="0" xr:uid="{C7C3D0BC-F021-44D4-A63C-6228123AA8A3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Paid Rides
</t>
        </r>
      </text>
    </comment>
    <comment ref="H96" authorId="0" shapeId="0" xr:uid="{68602D69-0360-4411-8054-EB5C6E323B75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Paid Rides
</t>
        </r>
      </text>
    </comment>
    <comment ref="K96" authorId="0" shapeId="0" xr:uid="{337F2045-76B7-48B7-922E-B045A6B4E1EE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Paid Rides
</t>
        </r>
      </text>
    </comment>
    <comment ref="P96" authorId="0" shapeId="0" xr:uid="{7CC6B1AA-F355-46EA-9CAF-8D4C860B5524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Paid Rides
</t>
        </r>
      </text>
    </comment>
    <comment ref="E98" authorId="1" shapeId="0" xr:uid="{463990BB-AC8D-4B8D-B647-38C1FAE086C4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Fundraising training, concert expense, group rides, ride marshal training.
</t>
        </r>
      </text>
    </comment>
    <comment ref="H98" authorId="1" shapeId="0" xr:uid="{3805B11E-B865-402E-82A2-3A07218BB996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Fundraising training, concert expense, cargo bike festival exp, ride marshal training.
</t>
        </r>
      </text>
    </comment>
    <comment ref="P98" authorId="1" shapeId="0" xr:uid="{F8DF925A-920E-4E6E-AAB9-93C794663465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Less the $1,000 due to SOHM - in grant exp line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Misty Bromley</author>
  </authors>
  <commentList>
    <comment ref="E54" authorId="0" shapeId="0" xr:uid="{D6B451B4-E799-42DC-A282-0D1E619265A1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rounded to $4,200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Misty Bromley</author>
    <author>Emilio Torres</author>
  </authors>
  <commentList>
    <comment ref="E25" authorId="0" shapeId="0" xr:uid="{77148D87-5DF9-49DB-9469-1B5A0115CF11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AGM, Bank charges, Dreamhost, Insurance, Other G&amp;A, and Paypal fees expense accounts in this cell.
</t>
        </r>
      </text>
    </comment>
    <comment ref="M25" authorId="0" shapeId="0" xr:uid="{5C4DC8D6-672F-43CF-93DF-C7D843C16632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AGM, Bank charges, Dreamhost, Insurance, Other G&amp;A, and Paypal fees expense accounts in this cell.
</t>
        </r>
      </text>
    </comment>
    <comment ref="E26" authorId="0" shapeId="0" xr:uid="{F29962DB-AABD-4E22-B42F-E7ECDFEF2D2D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And need to increase the donation line accordingly.</t>
        </r>
      </text>
    </comment>
    <comment ref="E85" authorId="0" shapeId="0" xr:uid="{7FE9DB8B-9B80-4B92-BDBC-7B71796F683A}">
      <text>
        <r>
          <rPr>
            <b/>
            <sz val="9"/>
            <color indexed="81"/>
            <rFont val="Tahoma"/>
            <charset val="1"/>
          </rPr>
          <t>Misty Bromley:</t>
        </r>
        <r>
          <rPr>
            <sz val="9"/>
            <color indexed="81"/>
            <rFont val="Tahoma"/>
            <charset val="1"/>
          </rPr>
          <t xml:space="preserve">
Fall concert</t>
        </r>
      </text>
    </comment>
    <comment ref="E86" authorId="0" shapeId="0" xr:uid="{7E458D37-A63E-4A87-9383-09A1B5BC736D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Paid Rides
</t>
        </r>
      </text>
    </comment>
    <comment ref="H86" authorId="0" shapeId="0" xr:uid="{BA655AA9-6E31-4D2E-93D3-8BF50606C8C2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Paid Rides
</t>
        </r>
      </text>
    </comment>
    <comment ref="M86" authorId="0" shapeId="0" xr:uid="{9493DCCF-2C47-433B-AF44-DE39A01CEA2A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Paid Rides
</t>
        </r>
      </text>
    </comment>
    <comment ref="E88" authorId="1" shapeId="0" xr:uid="{453FD1C3-0C85-4E7C-A3CA-228E3A5F491E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Fundraising training, concert expense, cargo bike festival exp, ride marshal training.
</t>
        </r>
      </text>
    </comment>
    <comment ref="M88" authorId="1" shapeId="0" xr:uid="{E27AB7FD-BF81-4B67-9749-A9C5A80BF7A3}">
      <text>
        <r>
          <rPr>
            <b/>
            <sz val="9"/>
            <color indexed="81"/>
            <rFont val="Tahoma"/>
            <family val="2"/>
          </rPr>
          <t>Misty Bromley:</t>
        </r>
        <r>
          <rPr>
            <sz val="9"/>
            <color indexed="81"/>
            <rFont val="Tahoma"/>
            <family val="2"/>
          </rPr>
          <t xml:space="preserve">
Less the $1,000 due to SOHM - in grant exp line</t>
        </r>
      </text>
    </comment>
  </commentList>
</comments>
</file>

<file path=xl/sharedStrings.xml><?xml version="1.0" encoding="utf-8"?>
<sst xmlns="http://schemas.openxmlformats.org/spreadsheetml/2006/main" count="893" uniqueCount="480">
  <si>
    <t>General Revenue</t>
  </si>
  <si>
    <t>Sponsorships</t>
  </si>
  <si>
    <t>Variance</t>
  </si>
  <si>
    <t>Total General Revenue</t>
  </si>
  <si>
    <t>Administrative Expenses</t>
  </si>
  <si>
    <t>Memberships and Donations</t>
  </si>
  <si>
    <t>Revenue</t>
  </si>
  <si>
    <t>Expense</t>
  </si>
  <si>
    <t>Bike Valet</t>
  </si>
  <si>
    <t>Net Income</t>
  </si>
  <si>
    <t>Advocacy</t>
  </si>
  <si>
    <t>Miscellaneous</t>
  </si>
  <si>
    <t>Membership and Promotion</t>
  </si>
  <si>
    <t>Net Income (Loss)</t>
  </si>
  <si>
    <t>Professional Development</t>
  </si>
  <si>
    <t>Office and Administration</t>
  </si>
  <si>
    <t>Total Expenses</t>
  </si>
  <si>
    <t>Fundraising</t>
  </si>
  <si>
    <t>Strategic Planning</t>
  </si>
  <si>
    <t>Bike Parking Contract</t>
  </si>
  <si>
    <t>Volunteer Appreciation</t>
  </si>
  <si>
    <t>2020</t>
  </si>
  <si>
    <t>Building Sustainable Communities #1</t>
  </si>
  <si>
    <t>Building Sustainable Communities #2</t>
  </si>
  <si>
    <t>Canada Summer Jobs</t>
  </si>
  <si>
    <t>Heritage Grant</t>
  </si>
  <si>
    <t>Add'l Grant Expenses</t>
  </si>
  <si>
    <t>Add'l Grant Expenses - Training</t>
  </si>
  <si>
    <t>Communications Strategist</t>
  </si>
  <si>
    <t>Events Coordinator</t>
  </si>
  <si>
    <t>Office Rental</t>
  </si>
  <si>
    <t>Outreach</t>
  </si>
  <si>
    <t>Policy Strategist</t>
  </si>
  <si>
    <t>Volunteer Coordinator</t>
  </si>
  <si>
    <t>Web Developer</t>
  </si>
  <si>
    <t>Expenses</t>
  </si>
  <si>
    <t>Ride Into History</t>
  </si>
  <si>
    <t>Ride Share Researcher</t>
  </si>
  <si>
    <t>Bicycle Designer</t>
  </si>
  <si>
    <t>Total</t>
  </si>
  <si>
    <t>OCD Grant Expense</t>
  </si>
  <si>
    <r>
      <t>Surplus (deficit)</t>
    </r>
    <r>
      <rPr>
        <sz val="11"/>
        <rFont val="Calibri"/>
        <family val="2"/>
        <scheme val="minor"/>
      </rPr>
      <t xml:space="preserve"> (from general operations)</t>
    </r>
  </si>
  <si>
    <t>Conservation &amp; Climate Fund</t>
  </si>
  <si>
    <t>QB I/S</t>
  </si>
  <si>
    <t>Unallocated Grant Income</t>
  </si>
  <si>
    <t>Grant-supported Projects</t>
  </si>
  <si>
    <t>Other Projects</t>
  </si>
  <si>
    <t>Net Grant Revenue And Expenses</t>
  </si>
  <si>
    <t>Amortization</t>
  </si>
  <si>
    <t>Amortization has never been accounted for in the budget.</t>
  </si>
  <si>
    <t>Bank charges, Dreamhost charges, insurance, other gen &amp; admin, and PayPal fees</t>
  </si>
  <si>
    <t>Bike Winnipeg Inc.</t>
  </si>
  <si>
    <t>Transfer to Capital/Operating Reserves</t>
  </si>
  <si>
    <t>Contingency</t>
  </si>
  <si>
    <t xml:space="preserve"> 2021 Budget</t>
  </si>
  <si>
    <t>Budget IS</t>
  </si>
  <si>
    <t>variance</t>
  </si>
  <si>
    <t>Total Net Income (Loss)</t>
  </si>
  <si>
    <t xml:space="preserve">Loan Interest </t>
  </si>
  <si>
    <t>Transportation Survey Researcher</t>
  </si>
  <si>
    <t xml:space="preserve">Grants </t>
  </si>
  <si>
    <t>2021</t>
  </si>
  <si>
    <t>Quickbooks &amp; Timesheets Subscriptions</t>
  </si>
  <si>
    <t>Revenue - Paid Rides</t>
  </si>
  <si>
    <t>Revenue - Outreach</t>
  </si>
  <si>
    <t>Bike Share Feasibility Study</t>
  </si>
  <si>
    <t>Local Bike Groups Coordinator</t>
  </si>
  <si>
    <t>Videographer</t>
  </si>
  <si>
    <t>Manitoba Healthy Hire</t>
  </si>
  <si>
    <t>Imagine Canada Subscription</t>
  </si>
  <si>
    <t>Imagine Canada Grant Connect</t>
  </si>
  <si>
    <t>Transfer from Reserve</t>
  </si>
  <si>
    <t>ACU Community Grant</t>
  </si>
  <si>
    <t>Colleges &amp; Institutes Canada</t>
  </si>
  <si>
    <t>Red River Co-op Grant</t>
  </si>
  <si>
    <t>2022 Budget</t>
  </si>
  <si>
    <t>(to 2022)</t>
  </si>
  <si>
    <t>2021 Actual</t>
  </si>
  <si>
    <t>Budget</t>
  </si>
  <si>
    <t>CR Budget</t>
  </si>
  <si>
    <t>Executive Director</t>
  </si>
  <si>
    <t>Total Revenue</t>
  </si>
  <si>
    <t>Total Exp</t>
  </si>
  <si>
    <t>Missing - Local Bikes Group staff, Probe Research Poll rev &amp; exp</t>
  </si>
  <si>
    <t>DRAFT STATUS</t>
  </si>
  <si>
    <t>Change in Net Income</t>
  </si>
  <si>
    <t>BW policies</t>
  </si>
  <si>
    <t>Strat plan</t>
  </si>
  <si>
    <t>Risk review</t>
  </si>
  <si>
    <t>CRA categories</t>
  </si>
  <si>
    <t>ED base pay</t>
  </si>
  <si>
    <t>Charitable (Y/n/M?)</t>
  </si>
  <si>
    <t>Notes</t>
  </si>
  <si>
    <t>Outputs</t>
  </si>
  <si>
    <t>BW 2021 budget</t>
  </si>
  <si>
    <t>Old 2022 budget format</t>
  </si>
  <si>
    <t>KPIs (draft)</t>
  </si>
  <si>
    <t>Past annual report financials</t>
  </si>
  <si>
    <t>Actual</t>
  </si>
  <si>
    <t>Grouped items</t>
  </si>
  <si>
    <t>Target</t>
  </si>
  <si>
    <t>Description</t>
  </si>
  <si>
    <t>Restricted Funds (Grants, etc.)</t>
  </si>
  <si>
    <t>ACU Grant #1 (community grant)</t>
  </si>
  <si>
    <t>P</t>
  </si>
  <si>
    <t>M?</t>
  </si>
  <si>
    <t>ACU Grant #2 (sponsorship)</t>
  </si>
  <si>
    <t>Provincial Heritage Grant</t>
  </si>
  <si>
    <t>Y</t>
  </si>
  <si>
    <t>Doors Open</t>
  </si>
  <si>
    <t>BEST Program</t>
  </si>
  <si>
    <t>Retrain MB</t>
  </si>
  <si>
    <t>D8/E6</t>
  </si>
  <si>
    <t>Pending</t>
  </si>
  <si>
    <t>Misc. grants</t>
  </si>
  <si>
    <t>var</t>
  </si>
  <si>
    <t>Restricted sponsorships</t>
  </si>
  <si>
    <t>Restricted donations</t>
  </si>
  <si>
    <t>C5</t>
  </si>
  <si>
    <t>Restricted donation - Probe Poll</t>
  </si>
  <si>
    <t xml:space="preserve">CAA committed to $5k.  BW can apply for grants to cover most of our cost ("most", in that we promised some of our Nov. 2021 Giving Tuesday fundraising toward </t>
  </si>
  <si>
    <t>MEC Partnership</t>
  </si>
  <si>
    <t>?</t>
  </si>
  <si>
    <t>Grants section</t>
  </si>
  <si>
    <t>This should net out closer to zero</t>
  </si>
  <si>
    <t>Management &amp; Administration</t>
  </si>
  <si>
    <t>Executive Director - total base pay</t>
  </si>
  <si>
    <t>Current base pay = $17,290 = $665/pay; a raise to $23.90/hr salary = $18,642 = $717/pay = 7.8% increase = $1,352 increase</t>
  </si>
  <si>
    <t>Executive Director - performance bonus</t>
  </si>
  <si>
    <t>5% = $932; 10% = %1,864</t>
  </si>
  <si>
    <t>Executive Director - prof. dev.</t>
  </si>
  <si>
    <t>D8</t>
  </si>
  <si>
    <t>A</t>
  </si>
  <si>
    <t>Professional development</t>
  </si>
  <si>
    <t>Executive Director - other benefits</t>
  </si>
  <si>
    <t>$400 for bike expenses? $400 for partial phone &amp; internet?</t>
  </si>
  <si>
    <t>ED - Total Compensation</t>
  </si>
  <si>
    <t>Executive director (less $400)</t>
  </si>
  <si>
    <t>Subscription - P.O. Box</t>
  </si>
  <si>
    <t>Subscription - Quickbooks</t>
  </si>
  <si>
    <t>Subscription - Timesheets</t>
  </si>
  <si>
    <t>Subscription - BoardSource</t>
  </si>
  <si>
    <t>Subscription - Video Conferencing (Zoom)</t>
  </si>
  <si>
    <t>Subscriptions - Total</t>
  </si>
  <si>
    <t>Memberships and promotion</t>
  </si>
  <si>
    <t>A2</t>
  </si>
  <si>
    <t>M</t>
  </si>
  <si>
    <t>Strategic plan</t>
  </si>
  <si>
    <t>AGM</t>
  </si>
  <si>
    <t>Office &amp; Admin</t>
  </si>
  <si>
    <t>Monthly meetings</t>
  </si>
  <si>
    <t>Audit / Review Engagement</t>
  </si>
  <si>
    <t>B2</t>
  </si>
  <si>
    <t>Website/email/social media</t>
  </si>
  <si>
    <t>PayPal &amp; Eventbrite fees</t>
  </si>
  <si>
    <t>Board training (essentials)</t>
  </si>
  <si>
    <t>E6</t>
  </si>
  <si>
    <t>CV Mgmt &amp; Leadership Training</t>
  </si>
  <si>
    <t>Affiliation - Velo Canada Bikes</t>
  </si>
  <si>
    <t>Affiliation - Manitoba Eco-Network</t>
  </si>
  <si>
    <t>Affiliation - Green Action Centre</t>
  </si>
  <si>
    <t>Affiliation - Trails Manitoba</t>
  </si>
  <si>
    <t>Affiliation - CCEDNET</t>
  </si>
  <si>
    <t>Affiliation - Climate Action Network Canada</t>
  </si>
  <si>
    <t>Affiliation - Alliance 2030 (free)</t>
  </si>
  <si>
    <t>Affiliation - ITE</t>
  </si>
  <si>
    <t>Affiliation - APBP (indiv for Mark)</t>
  </si>
  <si>
    <t>Affiliation - Winter Cycling Federation (NGO member)</t>
  </si>
  <si>
    <t>Affiliation - Other</t>
  </si>
  <si>
    <t>Affiliations - Total</t>
  </si>
  <si>
    <t>Insurance</t>
  </si>
  <si>
    <t>Office and admin</t>
  </si>
  <si>
    <t>Finance charges</t>
  </si>
  <si>
    <t>PayPal fees on memberships and donations</t>
  </si>
  <si>
    <t>CRA guidelines on allocating fundraising expenditures</t>
  </si>
  <si>
    <t>Memberships</t>
  </si>
  <si>
    <t>Donations (unrestricted)</t>
  </si>
  <si>
    <t>(note para. 105, 116, 132, etc.)</t>
  </si>
  <si>
    <t>Sponsorships (unrestricted)</t>
  </si>
  <si>
    <t>CV Fundraising Training</t>
  </si>
  <si>
    <t>Fundraising exp</t>
  </si>
  <si>
    <t>Stationery, postage, etc.</t>
  </si>
  <si>
    <t>F</t>
  </si>
  <si>
    <t>Local Bike Groups</t>
  </si>
  <si>
    <t>Staff</t>
  </si>
  <si>
    <t>T</t>
  </si>
  <si>
    <t>Not included in totals</t>
  </si>
  <si>
    <t>Polling Project (CAA Manitoba)</t>
  </si>
  <si>
    <t>Probe Research Poll</t>
  </si>
  <si>
    <t>????</t>
  </si>
  <si>
    <t>Major Events</t>
  </si>
  <si>
    <t>Events - Fall Concert</t>
  </si>
  <si>
    <t>n</t>
  </si>
  <si>
    <t>Cargo Bike &amp; Trailer Festival</t>
  </si>
  <si>
    <t>Other</t>
  </si>
  <si>
    <t>Rides</t>
  </si>
  <si>
    <t>Ride Marshal Training</t>
  </si>
  <si>
    <t>Volunteers trained</t>
  </si>
  <si>
    <t>Grant Funded Rides</t>
  </si>
  <si>
    <t>Participants</t>
  </si>
  <si>
    <t>This expense seems high.</t>
  </si>
  <si>
    <t>Non-grant ride revenue</t>
  </si>
  <si>
    <t>Budgeted $2,500 incl. in base bay line above.</t>
  </si>
  <si>
    <t>- Non Grant Funded ED Hours</t>
  </si>
  <si>
    <t>Bike Trailer</t>
  </si>
  <si>
    <t>BTWD Pitstop</t>
  </si>
  <si>
    <t>WB2BD Pitstop</t>
  </si>
  <si>
    <t>Get Lit!</t>
  </si>
  <si>
    <t>Event management training</t>
  </si>
  <si>
    <t>Workshops</t>
  </si>
  <si>
    <t>Promotional Materials</t>
  </si>
  <si>
    <t>Volunteer Recruitment &amp; Appreciation</t>
  </si>
  <si>
    <t>Volunteer recruitment</t>
  </si>
  <si>
    <t>In-kind from Volunteer Manitoba</t>
  </si>
  <si>
    <t>Thank-you cards</t>
  </si>
  <si>
    <t>Volunteer orientation &amp; training</t>
  </si>
  <si>
    <t>Volunteer engagement &amp; supervision</t>
  </si>
  <si>
    <t>Volunteer recognition</t>
  </si>
  <si>
    <t>E8</t>
  </si>
  <si>
    <t>Volunteer appreciation</t>
  </si>
  <si>
    <t>Local Bike Group Events</t>
  </si>
  <si>
    <t>Advertising/Printing/Presentations</t>
  </si>
  <si>
    <t>Bicycle Valet</t>
  </si>
  <si>
    <t>Revenue - fees</t>
  </si>
  <si>
    <t>Revenue - ancillary donations</t>
  </si>
  <si>
    <t>Coordinator</t>
  </si>
  <si>
    <t>85% of fees + donations minus $500 for insurance and $500 for equipment rental</t>
  </si>
  <si>
    <t>A8</t>
  </si>
  <si>
    <t>Transfer to Reserve</t>
  </si>
  <si>
    <t>Installation</t>
  </si>
  <si>
    <t>Consulting (NCAs etc.)</t>
  </si>
  <si>
    <t>???</t>
  </si>
  <si>
    <t>Bike Trailer - Transfer to Reserve</t>
  </si>
  <si>
    <t>Subtotals</t>
  </si>
  <si>
    <t>Contribution to operating reserve</t>
  </si>
  <si>
    <t xml:space="preserve">                                                      </t>
  </si>
  <si>
    <t>Keyed into our monthly f/s format</t>
  </si>
  <si>
    <t>Red text - questions, comments</t>
  </si>
  <si>
    <t>Reference on in-kind donations</t>
  </si>
  <si>
    <t>The accepted way to record in-kind donations is to set up a separate revenue account but the expense side of the transaction should be recorded in its functional expense account.</t>
  </si>
  <si>
    <t>2022 Budget v.1</t>
  </si>
  <si>
    <t>2022 Budget v.2</t>
  </si>
  <si>
    <t>Donations</t>
  </si>
  <si>
    <t>Surprise!  New Social Enterprise</t>
  </si>
  <si>
    <t>Digital Upgrade</t>
  </si>
  <si>
    <t>Election Poll</t>
  </si>
  <si>
    <r>
      <t xml:space="preserve">Uncategorized </t>
    </r>
    <r>
      <rPr>
        <sz val="8"/>
        <rFont val="Calibri"/>
        <family val="2"/>
        <scheme val="minor"/>
      </rPr>
      <t>(VRRR, Get Lit, Labour for ?)</t>
    </r>
  </si>
  <si>
    <t>How to interpret this budget</t>
  </si>
  <si>
    <t>Click the "+" in the margins to expand cells and see additional details.</t>
  </si>
  <si>
    <t>Donations, memberships, and sponsorships are our primary variable revenue sources.  Maximizing these revenue categories gives us discretionary revenue to work with, and is the core funding for our advocacy work (PIE program).</t>
  </si>
  <si>
    <t>Fundraising event revenue has offsetting expenses noted further down the budget.  Events can require a lot of staff time if not volunteer driven.</t>
  </si>
  <si>
    <t>We budget for relatively few grants compared to the number we apply for: actual grant revenue can vary significantly from budgeted grant revenue.</t>
  </si>
  <si>
    <t>Grant revenue doesn't impact our net surplus/deficit: grants generate an offsetting expense in our programs or in the Management &amp; Admin category.</t>
  </si>
  <si>
    <t>Social enterprises include all revenue generating operations: Valet, rack installations, group rides, and consulting.</t>
  </si>
  <si>
    <t>Expenses are separated into 2 categories: "Program Expenses" for our 3 programs, and "Other Expenses" for everything else.  The percentage of "other expenses" should ideally be no more than 20% unless there are major one-time projects like our 2022 plans for strategic planning or a possible major, grant-funded digital upgrade.</t>
  </si>
  <si>
    <t>We typically wouldn't budget for a loan.  For Bike Wpg, loans are only needed if we have grant-funded projects with both near-term expenses and a post-project grant payment, e.g. temporary staff whose salaries are only reimbursed after the employment term.</t>
  </si>
  <si>
    <t>A 5% contingency is a healthy long-term target.</t>
  </si>
  <si>
    <t>Building a 6-month operating reserve -- i.e. cash savings to cover 6 months of expenses -- would drastically increase our financial stability and avoid almost any need for a loan.</t>
  </si>
  <si>
    <t>"Amortization" is a budget line for the decrease in value of our assets, e.g. bike racks.  It is a non-cash expense and impacts our balance sheet.</t>
  </si>
  <si>
    <t>EBITDA (E-BIT-DAW) is "earnings before interest, taxes, depreciation, and amortization." It's the standard measure of an organization's profitability, and reflects our budgeted cash flow excluding amortization (which is a non-cash expense).</t>
  </si>
  <si>
    <t>Net surplus/earnings (or a deficit/loss, if the number's negative) INCLUDES the non-cash amortization expense.</t>
  </si>
  <si>
    <t>The schedules at the end add additional information that can be of interest to the board to better understand our financial situation/expectations/plans.</t>
  </si>
  <si>
    <t>The 2 pie charts are good visuals of our budget.  There are also graphs at the end that track our past performance in a few different ways.</t>
  </si>
  <si>
    <t>Budget Summary</t>
  </si>
  <si>
    <t>Budget 2022</t>
  </si>
  <si>
    <t>Actual 2021</t>
  </si>
  <si>
    <t>Program Expenses</t>
  </si>
  <si>
    <t>Other Expenses</t>
  </si>
  <si>
    <t>Contingency &amp; op. reserve cont.</t>
  </si>
  <si>
    <r>
      <rPr>
        <b/>
        <sz val="10"/>
        <color theme="1"/>
        <rFont val="Arial"/>
        <family val="2"/>
      </rPr>
      <t xml:space="preserve">EBITDA </t>
    </r>
    <r>
      <rPr>
        <sz val="10"/>
        <color theme="1"/>
        <rFont val="Arial"/>
        <family val="2"/>
      </rPr>
      <t>(surplus excl. amortization)</t>
    </r>
  </si>
  <si>
    <r>
      <rPr>
        <b/>
        <sz val="10"/>
        <color theme="1"/>
        <rFont val="Arial"/>
        <family val="2"/>
      </rPr>
      <t>Net Surplus (Deficit)</t>
    </r>
    <r>
      <rPr>
        <sz val="10"/>
        <color theme="1"/>
        <rFont val="Arial"/>
        <family val="2"/>
      </rPr>
      <t xml:space="preserve"> (incl. amort.)</t>
    </r>
  </si>
  <si>
    <t>Sample financials</t>
  </si>
  <si>
    <t>Actuals</t>
  </si>
  <si>
    <t>Donations &amp; Memberships</t>
  </si>
  <si>
    <t>n/a</t>
  </si>
  <si>
    <t>Reported together in 2021</t>
  </si>
  <si>
    <t>Giving Tuesday</t>
  </si>
  <si>
    <t>Other Donations</t>
  </si>
  <si>
    <t>LBG sponsorships</t>
  </si>
  <si>
    <t>$3388 is max matching allowed from CSJ contract</t>
  </si>
  <si>
    <t>General sponsorships</t>
  </si>
  <si>
    <t>Fundraising events</t>
  </si>
  <si>
    <t>Primarily from Fall Concert which did not occur in 2021 (fundraising revenue is net)</t>
  </si>
  <si>
    <t>Fall Concert (net)</t>
  </si>
  <si>
    <t>Other Fundraising</t>
  </si>
  <si>
    <t>Grants</t>
  </si>
  <si>
    <t>High number is from large grants that are now complete / Assumes CSJ match will be found via grant</t>
  </si>
  <si>
    <t>Programs</t>
  </si>
  <si>
    <t>Not reported as program vs. non-program in 2021</t>
  </si>
  <si>
    <t>UNMATCHED</t>
  </si>
  <si>
    <t>Heritage grant</t>
  </si>
  <si>
    <t>BEST grant</t>
  </si>
  <si>
    <t>Doors Open grant</t>
  </si>
  <si>
    <t>Non-program</t>
  </si>
  <si>
    <t>$4k Strategic Plan grant expected from ACU</t>
  </si>
  <si>
    <t>ACU: strat plan</t>
  </si>
  <si>
    <t>DMI PowerUP: CiviCRM</t>
  </si>
  <si>
    <t>$20k CiviCRM project ---- should it be Mgmt &amp; Admin or a program expense?</t>
  </si>
  <si>
    <t>Social enterprises</t>
  </si>
  <si>
    <t>Bicycle Valet barely ran in 2021 (pandemic) and bike rack program was deferred to 2022</t>
  </si>
  <si>
    <t>Barely ran in 2021; 2022 budget based on 2019 revenue</t>
  </si>
  <si>
    <t>Group Rides tickets</t>
  </si>
  <si>
    <t>Consulting - Audit</t>
  </si>
  <si>
    <t>Already received $4164 for 2 Cycling Audits</t>
  </si>
  <si>
    <t>Consulting - Racks</t>
  </si>
  <si>
    <t>CoW budgets $30k/yr</t>
  </si>
  <si>
    <t>In-kind services</t>
  </si>
  <si>
    <t>Include in this budget?  All in-kind revenues are 100% offset within expenses to net zero effect on surplus</t>
  </si>
  <si>
    <t>Non-board professional services</t>
  </si>
  <si>
    <t>Other revenue</t>
  </si>
  <si>
    <t>2021 other revenue was primarily a transfer from reserves: this is not expected for 2022</t>
  </si>
  <si>
    <t>`</t>
  </si>
  <si>
    <t>*</t>
  </si>
  <si>
    <t>PIE</t>
  </si>
  <si>
    <t>of E.D.'s time + 50% LBG expenses + other expenses</t>
  </si>
  <si>
    <t>Labour (ED)</t>
  </si>
  <si>
    <t>Mark's time</t>
  </si>
  <si>
    <t>Labour (LBG)</t>
  </si>
  <si>
    <t>50% LBG time (current 60% funded)</t>
  </si>
  <si>
    <t>Cycling Audits</t>
  </si>
  <si>
    <t>Audits, assuming 10% admin returns to general cash</t>
  </si>
  <si>
    <t>Poll (QCP) contribution</t>
  </si>
  <si>
    <t>Probe Poll</t>
  </si>
  <si>
    <t>VRRR</t>
  </si>
  <si>
    <t>$500 for volunteer recruitment, retention, and recognition</t>
  </si>
  <si>
    <t>EDEN</t>
  </si>
  <si>
    <t>Labour</t>
  </si>
  <si>
    <t>Group rides</t>
  </si>
  <si>
    <t>Group Rides non-grant expenses</t>
  </si>
  <si>
    <t>Group ride costs less staff costs less volunteer rewards</t>
  </si>
  <si>
    <t>Get Lit</t>
  </si>
  <si>
    <t>In-kind</t>
  </si>
  <si>
    <t>In-kind donation by non-directors of professional services that would otherwise be paid and are calculable</t>
  </si>
  <si>
    <t>of non-staff program expenses for volunteer recruitment, retention, and recognition</t>
  </si>
  <si>
    <t>CIPS</t>
  </si>
  <si>
    <t>of E.D.'s time + other expenses</t>
  </si>
  <si>
    <t>Racks</t>
  </si>
  <si>
    <t>Bike rack installs</t>
  </si>
  <si>
    <t>Valet</t>
  </si>
  <si>
    <t>Bicycle Valet expenses including VRRR</t>
  </si>
  <si>
    <t>In-kind donation by bon-directors of professional services that would otherwise be paid and are calculable</t>
  </si>
  <si>
    <t>Total Program Expenses</t>
  </si>
  <si>
    <t>Mgmt &amp; admin - core</t>
  </si>
  <si>
    <t>of E.D.'s time + higher cost from new strategic plan + $20k CiviCRM project + other expenses</t>
  </si>
  <si>
    <t>E.D. bonus: 50% of membership fees above budget target?  Strategic objectives?  Was initially budgeted at 8.6% of base contract</t>
  </si>
  <si>
    <t>E.D. benefits (e.g. bike expenses, training)</t>
  </si>
  <si>
    <t>Goverance</t>
  </si>
  <si>
    <t>Strategic Planning: ACU contributes 75% up to $5,000</t>
  </si>
  <si>
    <t>Financial review</t>
  </si>
  <si>
    <t>Essential training</t>
  </si>
  <si>
    <t>First aid</t>
  </si>
  <si>
    <t>Mental health first aid</t>
  </si>
  <si>
    <t>T&amp;R #92</t>
  </si>
  <si>
    <t>Website/email/hosting</t>
  </si>
  <si>
    <t>CiviCRM hosting (grant covered in 2022; $414/yr thereafter)</t>
  </si>
  <si>
    <t>GIS hosting</t>
  </si>
  <si>
    <t>Subscription</t>
  </si>
  <si>
    <t>Subscription - Imagine Canada - Strong Charities</t>
  </si>
  <si>
    <t>Subscription - Grant Connect</t>
  </si>
  <si>
    <t>Affiliation</t>
  </si>
  <si>
    <t>Banking</t>
  </si>
  <si>
    <t>Banking fees</t>
  </si>
  <si>
    <t>Training</t>
  </si>
  <si>
    <t>Volunteer RRR</t>
  </si>
  <si>
    <t>Volunteer recruitment, retention, and recognition</t>
  </si>
  <si>
    <t>Mgmt &amp; admin - projects</t>
  </si>
  <si>
    <t>PowerUP: CiviCRM</t>
  </si>
  <si>
    <t>Digital upgrade</t>
  </si>
  <si>
    <t>Strategic planning</t>
  </si>
  <si>
    <t>Loan expense</t>
  </si>
  <si>
    <t>No loan expected in 2022 at the moment</t>
  </si>
  <si>
    <r>
      <rPr>
        <i/>
        <sz val="10"/>
        <color theme="1"/>
        <rFont val="Arial"/>
        <family val="2"/>
      </rPr>
      <t>Amortization</t>
    </r>
    <r>
      <rPr>
        <i/>
        <sz val="10"/>
        <color theme="1"/>
        <rFont val="Arial"/>
        <family val="2"/>
      </rPr>
      <t xml:space="preserve"> (non-cash expense)</t>
    </r>
  </si>
  <si>
    <t>Fundraising Events</t>
  </si>
  <si>
    <t>Fall Concert</t>
  </si>
  <si>
    <t>Total Other Expenses</t>
  </si>
  <si>
    <t>Subtotal Expenses</t>
  </si>
  <si>
    <r>
      <rPr>
        <b/>
        <sz val="10"/>
        <color theme="1"/>
        <rFont val="Arial"/>
        <family val="2"/>
      </rPr>
      <t xml:space="preserve">Contingency </t>
    </r>
    <r>
      <rPr>
        <sz val="10"/>
        <color theme="1"/>
        <rFont val="Arial Narrow"/>
        <family val="2"/>
      </rPr>
      <t>(% of expenses)</t>
    </r>
  </si>
  <si>
    <t>Operating reserve contribution</t>
  </si>
  <si>
    <t>EBITDA</t>
  </si>
  <si>
    <t>(Earnings before interest, taxes, depreciation, &amp; amortization)</t>
  </si>
  <si>
    <t>Interest expense</t>
  </si>
  <si>
    <t>Tax expense</t>
  </si>
  <si>
    <t>Depreciation (non-cash expense)</t>
  </si>
  <si>
    <t>Amortization (non-cash expense)</t>
  </si>
  <si>
    <t>Assuming same amount for 2022 as was stated in 2021</t>
  </si>
  <si>
    <t>Net Surplus/Earnings (Deficit/Loss)</t>
  </si>
  <si>
    <t>Schedule A: Budgeted grants with partially funded obligations</t>
  </si>
  <si>
    <r>
      <rPr>
        <b/>
        <sz val="10"/>
        <color theme="1"/>
        <rFont val="Arial"/>
        <family val="2"/>
      </rPr>
      <t xml:space="preserve">Assiniboine Credit Union Community Grant </t>
    </r>
    <r>
      <rPr>
        <sz val="10"/>
        <color theme="1"/>
        <rFont val="Arial"/>
        <family val="2"/>
      </rPr>
      <t>(for strategic planning)</t>
    </r>
  </si>
  <si>
    <t>ACU grant (anticipated)</t>
  </si>
  <si>
    <t>MB gov't BSC grant</t>
  </si>
  <si>
    <t>Discretionary funds</t>
  </si>
  <si>
    <t>Net revenue (deficit)</t>
  </si>
  <si>
    <t>Potential revenue sources: Building Sustainable Communities Grant</t>
  </si>
  <si>
    <r>
      <rPr>
        <b/>
        <sz val="10"/>
        <color theme="1"/>
        <rFont val="Arial"/>
        <family val="2"/>
      </rPr>
      <t xml:space="preserve">Canada Summer Jobs grant </t>
    </r>
    <r>
      <rPr>
        <sz val="10"/>
        <color theme="1"/>
        <rFont val="Arial"/>
        <family val="2"/>
      </rPr>
      <t>(for Local Bike Groups Coord.)</t>
    </r>
  </si>
  <si>
    <t>CSJ grant</t>
  </si>
  <si>
    <t>LBG Coordinator</t>
  </si>
  <si>
    <r>
      <rPr>
        <b/>
        <sz val="10"/>
        <color theme="1"/>
        <rFont val="Arial"/>
        <family val="2"/>
      </rPr>
      <t xml:space="preserve">Heritage grant </t>
    </r>
    <r>
      <rPr>
        <sz val="10"/>
        <color theme="1"/>
        <rFont val="Arial"/>
        <family val="2"/>
      </rPr>
      <t>(for Group Rides)</t>
    </r>
  </si>
  <si>
    <t>Heritage grant (anticipated)</t>
  </si>
  <si>
    <t>Ticket revenue (est.)</t>
  </si>
  <si>
    <t>Other expenses (est.)</t>
  </si>
  <si>
    <t>Schedule B: Social enterprises</t>
  </si>
  <si>
    <t>Sales (event bookings)</t>
  </si>
  <si>
    <t>Staff contract @ 85%</t>
  </si>
  <si>
    <t>Group Rides</t>
  </si>
  <si>
    <t>Sales (tickets)</t>
  </si>
  <si>
    <t>Labour (est. 25% ED time)</t>
  </si>
  <si>
    <t>Consulting</t>
  </si>
  <si>
    <t>Neighbourhood Cycling Audits</t>
  </si>
  <si>
    <t>Racks - subcontract (85%)</t>
  </si>
  <si>
    <t>Labour - Racks</t>
  </si>
  <si>
    <t>Labour - Audits (est.)</t>
  </si>
  <si>
    <t>Store</t>
  </si>
  <si>
    <t>Sales</t>
  </si>
  <si>
    <t>Inventory</t>
  </si>
  <si>
    <t>Storage</t>
  </si>
  <si>
    <t>Schedule C: Management &amp; administration expense details</t>
  </si>
  <si>
    <t>Core</t>
  </si>
  <si>
    <t>Governance (AGM)</t>
  </si>
  <si>
    <t>Training - staff - essential</t>
  </si>
  <si>
    <t>Training - staff - discretionary</t>
  </si>
  <si>
    <t>Training - board</t>
  </si>
  <si>
    <t>Website &amp; communications</t>
  </si>
  <si>
    <t>Subscription services</t>
  </si>
  <si>
    <t>Affiliations</t>
  </si>
  <si>
    <t>PayPal &amp; EventBrite</t>
  </si>
  <si>
    <t>Other expenses</t>
  </si>
  <si>
    <t>Subtotal core expenses</t>
  </si>
  <si>
    <t>Projects</t>
  </si>
  <si>
    <t>Other project expenses</t>
  </si>
  <si>
    <t>Subtotal project expenses</t>
  </si>
  <si>
    <t>Schedule D: Project budgets</t>
  </si>
  <si>
    <t>Restricted revenue</t>
  </si>
  <si>
    <t>Discretionary revenue</t>
  </si>
  <si>
    <t>Total revenue</t>
  </si>
  <si>
    <t>Total expenses</t>
  </si>
  <si>
    <t>Net surplus (deficit)</t>
  </si>
  <si>
    <t>Schedule E: Summary of in-kind donations</t>
  </si>
  <si>
    <t>MPI rate hearings - legal support</t>
  </si>
  <si>
    <t>In-kind services from non-profits/charities</t>
  </si>
  <si>
    <t>Other professional services from non-directors</t>
  </si>
  <si>
    <t>Total in-kind donations</t>
  </si>
  <si>
    <r>
      <rPr>
        <b/>
        <sz val="10"/>
        <color theme="1"/>
        <rFont val="Arial"/>
        <family val="2"/>
      </rPr>
      <t xml:space="preserve">Schedule F: Salaries &amp; wages </t>
    </r>
    <r>
      <rPr>
        <sz val="10"/>
        <color theme="1"/>
        <rFont val="Arial"/>
        <family val="2"/>
      </rPr>
      <t>(DO NOT PUBLISH)</t>
    </r>
  </si>
  <si>
    <t>Executive Director salary</t>
  </si>
  <si>
    <t>Portioning</t>
  </si>
  <si>
    <t>Base</t>
  </si>
  <si>
    <t>Grant-funded projects</t>
  </si>
  <si>
    <t>Benefits</t>
  </si>
  <si>
    <t>Bonus</t>
  </si>
  <si>
    <t>Admin</t>
  </si>
  <si>
    <t>Canada Summer Jobs grant</t>
  </si>
  <si>
    <t>Allowable grant match (unsecured)</t>
  </si>
  <si>
    <t>Base - unfunded</t>
  </si>
  <si>
    <t>Total staffing budget</t>
  </si>
  <si>
    <t>Schedule G: Volunteer recruitment, retention, and recognition</t>
  </si>
  <si>
    <t>Schedule F: Economic independence</t>
  </si>
  <si>
    <t>Unrestricted revenue vs. E.D. salary &amp; core mgmt &amp; admin expenses</t>
  </si>
  <si>
    <t>Net unrestricted revenue</t>
  </si>
  <si>
    <r>
      <rPr>
        <u/>
        <sz val="10"/>
        <color theme="1"/>
        <rFont val="Arial"/>
        <family val="2"/>
      </rPr>
      <t>Net</t>
    </r>
    <r>
      <rPr>
        <sz val="10"/>
        <color theme="1"/>
        <rFont val="Arial"/>
        <family val="2"/>
      </rPr>
      <t xml:space="preserve"> profit from fundraising events</t>
    </r>
  </si>
  <si>
    <r>
      <rPr>
        <u/>
        <sz val="10"/>
        <color theme="1"/>
        <rFont val="Arial"/>
        <family val="2"/>
      </rPr>
      <t>Net</t>
    </r>
    <r>
      <rPr>
        <sz val="10"/>
        <color theme="1"/>
        <rFont val="Arial"/>
        <family val="2"/>
      </rPr>
      <t xml:space="preserve"> profit from social enterprises</t>
    </r>
  </si>
  <si>
    <t>Total net unrestricted revenue</t>
  </si>
  <si>
    <t>E.D. salary + core mgmt &amp; admin</t>
  </si>
  <si>
    <t>Unfunded grant obligations</t>
  </si>
  <si>
    <t>Net surplus (deficit) if grants disappear</t>
  </si>
  <si>
    <t>Notes to Budget Spending Authority</t>
  </si>
  <si>
    <t>1.  Executive Director is authorized to spend contingency as seen fit.</t>
  </si>
  <si>
    <t>2.  Executive Director can reallocate cost savings or underspending from one line item to other line items unless contractually prohibited.</t>
  </si>
  <si>
    <t>Graphs</t>
  </si>
  <si>
    <t>Net Revenue</t>
  </si>
  <si>
    <t>Retained Earnings</t>
  </si>
  <si>
    <t>2022 (budgeted)</t>
  </si>
  <si>
    <t>Assets</t>
  </si>
  <si>
    <t>Liabilities</t>
  </si>
  <si>
    <t>M+A+S Expenses</t>
  </si>
  <si>
    <t>D+M Revenue</t>
  </si>
  <si>
    <t>Check figures:</t>
  </si>
  <si>
    <t>variance (rounding)</t>
  </si>
  <si>
    <t>(to 2022 v.2)</t>
  </si>
  <si>
    <t>V2 Budget</t>
  </si>
  <si>
    <t>V1 Budget</t>
  </si>
  <si>
    <t>Google Sheets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</si>
</sst>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&quot;$&quot;#,##0"/>
    <numFmt numFmtId="170" formatCode="0.0%"/>
    <numFmt numFmtId="171" formatCode="&quot;$&quot;#,##0.00"/>
    <numFmt numFmtId="173" formatCode="_(&quot;$&quot;* #,##0_);_(&quot;$&quot;* \(#,##0\);_(&quot;$&quot;* &quot;-&quot;??_);_(@_)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000000"/>
      <name val="Calibri"/>
      <family val="2"/>
      <scheme val="minor"/>
    </font>
    <font>
      <b/>
      <sz val="18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0"/>
      <color rgb="FF1155CC"/>
      <name val="Arial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u/>
      <sz val="10"/>
      <color rgb="FF1155CC"/>
      <name val="Arial"/>
      <family val="2"/>
    </font>
    <font>
      <b/>
      <sz val="9"/>
      <color rgb="FF666666"/>
      <name val="Arial Narrow"/>
      <family val="2"/>
    </font>
    <font>
      <b/>
      <sz val="10"/>
      <name val="Arial"/>
      <family val="2"/>
    </font>
    <font>
      <sz val="10"/>
      <color theme="1"/>
      <name val="Arial Narrow"/>
      <family val="2"/>
    </font>
    <font>
      <sz val="10"/>
      <color rgb="FF999999"/>
      <name val="Arial Narrow"/>
      <family val="2"/>
    </font>
    <font>
      <sz val="10"/>
      <color rgb="FFFF0000"/>
      <name val="Arial"/>
      <family val="2"/>
    </font>
    <font>
      <b/>
      <sz val="10"/>
      <color rgb="FF999999"/>
      <name val="Arial Narrow"/>
      <family val="2"/>
    </font>
    <font>
      <sz val="10"/>
      <name val="Calibri"/>
      <family val="2"/>
      <scheme val="minor"/>
    </font>
    <font>
      <b/>
      <sz val="10"/>
      <color rgb="FFFF0000"/>
      <name val="Arial"/>
      <family val="2"/>
    </font>
    <font>
      <u/>
      <sz val="10"/>
      <name val="Arial"/>
      <family val="2"/>
    </font>
    <font>
      <i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u/>
      <sz val="10"/>
      <color rgb="FF1155CC"/>
      <name val="Arial Narrow"/>
      <family val="2"/>
    </font>
    <font>
      <b/>
      <i/>
      <sz val="10"/>
      <color theme="1"/>
      <name val="Arial"/>
      <family val="2"/>
    </font>
    <font>
      <sz val="8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999999"/>
      <name val="Calibri"/>
      <family val="2"/>
      <scheme val="minor"/>
    </font>
    <font>
      <sz val="10"/>
      <color rgb="FF999999"/>
      <name val="Calibri"/>
      <family val="2"/>
      <scheme val="minor"/>
    </font>
    <font>
      <b/>
      <u/>
      <sz val="10"/>
      <color theme="0"/>
      <name val="Arial Narrow"/>
      <family val="2"/>
    </font>
    <font>
      <i/>
      <sz val="10"/>
      <color theme="1"/>
      <name val="Arial Narrow"/>
      <family val="2"/>
    </font>
    <font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99999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7E3794"/>
      <name val="Calibri"/>
      <family val="2"/>
      <scheme val="minor"/>
    </font>
    <font>
      <u/>
      <sz val="10"/>
      <color theme="1"/>
      <name val="Arial"/>
      <family val="2"/>
    </font>
    <font>
      <sz val="6"/>
      <name val="Calibri"/>
      <family val="2"/>
      <scheme val="minor"/>
    </font>
    <font>
      <sz val="10"/>
      <name val="Arial Narrow"/>
      <family val="2"/>
    </font>
    <font>
      <b/>
      <sz val="10"/>
      <name val="Calibri"/>
      <family val="2"/>
      <scheme val="minor"/>
    </font>
    <font>
      <b/>
      <sz val="10"/>
      <name val="Arial Narrow"/>
      <family val="2"/>
    </font>
    <font>
      <i/>
      <sz val="10"/>
      <name val="Arial Narrow"/>
      <family val="2"/>
    </font>
    <font>
      <i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rgb="FFEAD1DC"/>
        <bgColor rgb="FFEAD1DC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E9F0CC"/>
        <bgColor rgb="FFE9F0CC"/>
      </patternFill>
    </fill>
    <fill>
      <patternFill patternType="solid">
        <fgColor rgb="FFFFF2CC"/>
        <bgColor rgb="FFFFF2CC"/>
      </patternFill>
    </fill>
    <fill>
      <patternFill patternType="solid">
        <fgColor rgb="FFFAFCF3"/>
        <bgColor rgb="FFFAFCF3"/>
      </patternFill>
    </fill>
    <fill>
      <patternFill patternType="solid">
        <fgColor rgb="FFC7D879"/>
        <bgColor rgb="FFC7D879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</cellStyleXfs>
  <cellXfs count="344">
    <xf numFmtId="0" fontId="0" fillId="0" borderId="0" xfId="0"/>
    <xf numFmtId="0" fontId="4" fillId="0" borderId="0" xfId="0" applyFont="1"/>
    <xf numFmtId="0" fontId="5" fillId="0" borderId="0" xfId="0" applyFont="1"/>
    <xf numFmtId="165" fontId="4" fillId="0" borderId="0" xfId="0" applyNumberFormat="1" applyFont="1" applyAlignment="1">
      <alignment horizontal="center"/>
    </xf>
    <xf numFmtId="43" fontId="4" fillId="0" borderId="0" xfId="1" applyFont="1"/>
    <xf numFmtId="165" fontId="4" fillId="0" borderId="0" xfId="1" applyNumberFormat="1" applyFont="1"/>
    <xf numFmtId="165" fontId="5" fillId="0" borderId="0" xfId="1" applyNumberFormat="1" applyFont="1"/>
    <xf numFmtId="43" fontId="5" fillId="0" borderId="0" xfId="1" applyFont="1"/>
    <xf numFmtId="43" fontId="6" fillId="0" borderId="0" xfId="1" applyFont="1"/>
    <xf numFmtId="166" fontId="6" fillId="0" borderId="0" xfId="2" applyNumberFormat="1" applyFont="1"/>
    <xf numFmtId="165" fontId="6" fillId="0" borderId="0" xfId="1" applyNumberFormat="1" applyFont="1"/>
    <xf numFmtId="165" fontId="7" fillId="0" borderId="0" xfId="1" applyNumberFormat="1" applyFont="1"/>
    <xf numFmtId="43" fontId="7" fillId="0" borderId="0" xfId="1" applyFont="1"/>
    <xf numFmtId="165" fontId="6" fillId="0" borderId="1" xfId="1" applyNumberFormat="1" applyFont="1" applyBorder="1"/>
    <xf numFmtId="165" fontId="7" fillId="0" borderId="1" xfId="1" applyNumberFormat="1" applyFont="1" applyBorder="1"/>
    <xf numFmtId="164" fontId="4" fillId="0" borderId="0" xfId="1" applyNumberFormat="1" applyFont="1"/>
    <xf numFmtId="164" fontId="7" fillId="0" borderId="0" xfId="1" applyNumberFormat="1" applyFont="1"/>
    <xf numFmtId="165" fontId="4" fillId="0" borderId="1" xfId="2" applyNumberFormat="1" applyFont="1" applyBorder="1"/>
    <xf numFmtId="165" fontId="4" fillId="0" borderId="0" xfId="2" applyNumberFormat="1" applyFont="1"/>
    <xf numFmtId="165" fontId="7" fillId="0" borderId="1" xfId="2" applyNumberFormat="1" applyFont="1" applyBorder="1"/>
    <xf numFmtId="42" fontId="4" fillId="0" borderId="0" xfId="1" applyNumberFormat="1" applyFont="1"/>
    <xf numFmtId="164" fontId="4" fillId="0" borderId="0" xfId="2" applyNumberFormat="1" applyFont="1"/>
    <xf numFmtId="42" fontId="5" fillId="0" borderId="0" xfId="1" applyNumberFormat="1" applyFont="1"/>
    <xf numFmtId="164" fontId="6" fillId="0" borderId="0" xfId="2" applyNumberFormat="1" applyFont="1"/>
    <xf numFmtId="164" fontId="7" fillId="0" borderId="0" xfId="2" applyNumberFormat="1" applyFont="1"/>
    <xf numFmtId="167" fontId="6" fillId="0" borderId="0" xfId="1" applyNumberFormat="1" applyFont="1"/>
    <xf numFmtId="167" fontId="6" fillId="0" borderId="1" xfId="1" applyNumberFormat="1" applyFont="1" applyBorder="1"/>
    <xf numFmtId="165" fontId="4" fillId="0" borderId="1" xfId="1" applyNumberFormat="1" applyFont="1" applyBorder="1"/>
    <xf numFmtId="164" fontId="4" fillId="0" borderId="2" xfId="1" applyNumberFormat="1" applyFont="1" applyBorder="1"/>
    <xf numFmtId="164" fontId="7" fillId="0" borderId="2" xfId="1" applyNumberFormat="1" applyFont="1" applyBorder="1"/>
    <xf numFmtId="0" fontId="6" fillId="0" borderId="0" xfId="0" applyFont="1"/>
    <xf numFmtId="165" fontId="6" fillId="0" borderId="0" xfId="0" applyNumberFormat="1" applyFont="1"/>
    <xf numFmtId="165" fontId="7" fillId="0" borderId="0" xfId="0" applyNumberFormat="1" applyFont="1"/>
    <xf numFmtId="0" fontId="7" fillId="0" borderId="0" xfId="0" applyFont="1"/>
    <xf numFmtId="165" fontId="6" fillId="0" borderId="0" xfId="1" applyNumberFormat="1" applyFont="1" applyBorder="1"/>
    <xf numFmtId="43" fontId="8" fillId="0" borderId="0" xfId="1" applyFont="1"/>
    <xf numFmtId="165" fontId="4" fillId="0" borderId="0" xfId="1" applyNumberFormat="1" applyFont="1" applyFill="1"/>
    <xf numFmtId="165" fontId="6" fillId="0" borderId="0" xfId="1" applyNumberFormat="1" applyFont="1" applyFill="1"/>
    <xf numFmtId="165" fontId="6" fillId="0" borderId="0" xfId="1" applyNumberFormat="1" applyFont="1" applyFill="1" applyBorder="1"/>
    <xf numFmtId="165" fontId="6" fillId="0" borderId="1" xfId="1" applyNumberFormat="1" applyFont="1" applyFill="1" applyBorder="1"/>
    <xf numFmtId="164" fontId="6" fillId="0" borderId="0" xfId="2" applyNumberFormat="1" applyFont="1" applyFill="1"/>
    <xf numFmtId="165" fontId="6" fillId="0" borderId="0" xfId="0" applyNumberFormat="1" applyFont="1" applyFill="1"/>
    <xf numFmtId="166" fontId="6" fillId="0" borderId="0" xfId="2" applyNumberFormat="1" applyFont="1" applyFill="1"/>
    <xf numFmtId="165" fontId="5" fillId="0" borderId="0" xfId="1" applyNumberFormat="1" applyFont="1" applyFill="1"/>
    <xf numFmtId="165" fontId="7" fillId="0" borderId="0" xfId="1" applyNumberFormat="1" applyFont="1" applyFill="1"/>
    <xf numFmtId="165" fontId="7" fillId="0" borderId="1" xfId="1" applyNumberFormat="1" applyFont="1" applyFill="1" applyBorder="1"/>
    <xf numFmtId="164" fontId="7" fillId="0" borderId="0" xfId="2" applyNumberFormat="1" applyFont="1" applyFill="1"/>
    <xf numFmtId="165" fontId="6" fillId="0" borderId="0" xfId="2" applyNumberFormat="1" applyFont="1"/>
    <xf numFmtId="0" fontId="4" fillId="0" borderId="0" xfId="0" applyFont="1" applyBorder="1" applyAlignment="1"/>
    <xf numFmtId="0" fontId="4" fillId="0" borderId="0" xfId="0" applyFont="1" applyBorder="1"/>
    <xf numFmtId="0" fontId="5" fillId="0" borderId="0" xfId="0" applyFont="1" applyBorder="1" applyAlignment="1"/>
    <xf numFmtId="0" fontId="4" fillId="0" borderId="0" xfId="0" applyFont="1" applyFill="1" applyBorder="1" applyAlignment="1"/>
    <xf numFmtId="0" fontId="4" fillId="0" borderId="3" xfId="0" quotePrefix="1" applyFont="1" applyBorder="1" applyAlignment="1"/>
    <xf numFmtId="0" fontId="4" fillId="0" borderId="3" xfId="0" applyFont="1" applyBorder="1"/>
    <xf numFmtId="0" fontId="5" fillId="0" borderId="3" xfId="0" quotePrefix="1" applyFont="1" applyBorder="1" applyAlignment="1"/>
    <xf numFmtId="0" fontId="4" fillId="0" borderId="3" xfId="0" quotePrefix="1" applyFont="1" applyFill="1" applyBorder="1" applyAlignment="1"/>
    <xf numFmtId="165" fontId="5" fillId="0" borderId="0" xfId="0" quotePrefix="1" applyNumberFormat="1" applyFont="1" applyAlignment="1">
      <alignment horizontal="center" wrapText="1"/>
    </xf>
    <xf numFmtId="165" fontId="5" fillId="0" borderId="0" xfId="0" applyNumberFormat="1" applyFont="1" applyAlignment="1">
      <alignment horizontal="center"/>
    </xf>
    <xf numFmtId="165" fontId="7" fillId="0" borderId="0" xfId="1" applyNumberFormat="1" applyFont="1" applyFill="1" applyBorder="1"/>
    <xf numFmtId="168" fontId="7" fillId="0" borderId="0" xfId="2" applyNumberFormat="1" applyFont="1"/>
    <xf numFmtId="168" fontId="7" fillId="0" borderId="0" xfId="1" applyNumberFormat="1" applyFont="1"/>
    <xf numFmtId="168" fontId="7" fillId="0" borderId="1" xfId="1" applyNumberFormat="1" applyFont="1" applyBorder="1"/>
    <xf numFmtId="167" fontId="6" fillId="0" borderId="0" xfId="1" applyNumberFormat="1" applyFont="1" applyFill="1"/>
    <xf numFmtId="168" fontId="6" fillId="0" borderId="0" xfId="1" applyNumberFormat="1" applyFont="1"/>
    <xf numFmtId="168" fontId="7" fillId="0" borderId="0" xfId="1" applyNumberFormat="1" applyFont="1" applyBorder="1"/>
    <xf numFmtId="168" fontId="6" fillId="0" borderId="0" xfId="1" applyNumberFormat="1" applyFont="1" applyFill="1"/>
    <xf numFmtId="167" fontId="6" fillId="0" borderId="0" xfId="1" applyNumberFormat="1" applyFont="1" applyFill="1" applyBorder="1"/>
    <xf numFmtId="167" fontId="6" fillId="0" borderId="1" xfId="1" applyNumberFormat="1" applyFont="1" applyFill="1" applyBorder="1"/>
    <xf numFmtId="43" fontId="7" fillId="0" borderId="0" xfId="1" applyFont="1" applyFill="1"/>
    <xf numFmtId="165" fontId="4" fillId="0" borderId="0" xfId="0" applyNumberFormat="1" applyFont="1" applyAlignment="1">
      <alignment horizontal="center"/>
    </xf>
    <xf numFmtId="165" fontId="7" fillId="0" borderId="0" xfId="0" applyNumberFormat="1" applyFont="1" applyFill="1"/>
    <xf numFmtId="165" fontId="7" fillId="0" borderId="1" xfId="0" applyNumberFormat="1" applyFont="1" applyFill="1" applyBorder="1"/>
    <xf numFmtId="165" fontId="8" fillId="0" borderId="0" xfId="1" applyNumberFormat="1" applyFont="1" applyFill="1"/>
    <xf numFmtId="165" fontId="8" fillId="0" borderId="0" xfId="1" applyNumberFormat="1" applyFont="1" applyFill="1" applyBorder="1"/>
    <xf numFmtId="167" fontId="8" fillId="0" borderId="0" xfId="1" applyNumberFormat="1" applyFont="1" applyFill="1" applyBorder="1"/>
    <xf numFmtId="0" fontId="12" fillId="0" borderId="0" xfId="3" applyFont="1" applyAlignment="1">
      <alignment vertical="center"/>
    </xf>
    <xf numFmtId="0" fontId="13" fillId="0" borderId="0" xfId="3" applyFont="1" applyAlignment="1">
      <alignment horizontal="right" vertical="center" wrapText="1"/>
    </xf>
    <xf numFmtId="0" fontId="14" fillId="0" borderId="0" xfId="3" applyFont="1" applyAlignment="1">
      <alignment horizontal="center" vertical="center" wrapText="1"/>
    </xf>
    <xf numFmtId="0" fontId="13" fillId="0" borderId="0" xfId="3" applyFont="1" applyAlignment="1">
      <alignment vertical="center" wrapText="1"/>
    </xf>
    <xf numFmtId="0" fontId="11" fillId="0" borderId="0" xfId="3"/>
    <xf numFmtId="0" fontId="16" fillId="0" borderId="0" xfId="3" applyFont="1" applyAlignment="1">
      <alignment vertical="center" wrapText="1"/>
    </xf>
    <xf numFmtId="0" fontId="16" fillId="0" borderId="0" xfId="3" applyFont="1" applyAlignment="1">
      <alignment horizontal="right" vertical="center" wrapText="1"/>
    </xf>
    <xf numFmtId="49" fontId="14" fillId="0" borderId="0" xfId="3" applyNumberFormat="1" applyFont="1" applyAlignment="1">
      <alignment horizontal="center" vertical="center" wrapText="1"/>
    </xf>
    <xf numFmtId="49" fontId="19" fillId="0" borderId="0" xfId="3" applyNumberFormat="1" applyFont="1" applyAlignment="1">
      <alignment horizontal="center" vertical="center" wrapText="1"/>
    </xf>
    <xf numFmtId="49" fontId="20" fillId="0" borderId="0" xfId="3" applyNumberFormat="1" applyFont="1" applyAlignment="1">
      <alignment horizontal="center" vertical="center" wrapText="1"/>
    </xf>
    <xf numFmtId="49" fontId="21" fillId="0" borderId="0" xfId="3" applyNumberFormat="1" applyFont="1" applyAlignment="1">
      <alignment horizontal="center" vertical="center" wrapText="1"/>
    </xf>
    <xf numFmtId="49" fontId="14" fillId="0" borderId="6" xfId="3" applyNumberFormat="1" applyFont="1" applyBorder="1" applyAlignment="1">
      <alignment horizontal="center" vertical="center" wrapText="1"/>
    </xf>
    <xf numFmtId="0" fontId="14" fillId="0" borderId="7" xfId="3" applyFont="1" applyBorder="1" applyAlignment="1">
      <alignment vertical="center"/>
    </xf>
    <xf numFmtId="0" fontId="14" fillId="0" borderId="0" xfId="3" applyFont="1" applyAlignment="1">
      <alignment horizontal="right" vertical="center"/>
    </xf>
    <xf numFmtId="169" fontId="13" fillId="3" borderId="0" xfId="3" applyNumberFormat="1" applyFont="1" applyFill="1" applyAlignment="1">
      <alignment vertical="center"/>
    </xf>
    <xf numFmtId="169" fontId="13" fillId="0" borderId="0" xfId="3" applyNumberFormat="1" applyFont="1" applyAlignment="1">
      <alignment vertical="center"/>
    </xf>
    <xf numFmtId="169" fontId="13" fillId="0" borderId="6" xfId="3" applyNumberFormat="1" applyFont="1" applyBorder="1" applyAlignment="1">
      <alignment vertical="center"/>
    </xf>
    <xf numFmtId="169" fontId="15" fillId="0" borderId="0" xfId="3" applyNumberFormat="1" applyFont="1" applyAlignment="1">
      <alignment vertical="center"/>
    </xf>
    <xf numFmtId="0" fontId="13" fillId="3" borderId="0" xfId="3" applyFont="1" applyFill="1" applyAlignment="1">
      <alignment horizontal="center" vertical="center"/>
    </xf>
    <xf numFmtId="0" fontId="22" fillId="3" borderId="0" xfId="3" applyFont="1" applyFill="1" applyAlignment="1">
      <alignment vertical="center"/>
    </xf>
    <xf numFmtId="0" fontId="13" fillId="0" borderId="0" xfId="3" applyFont="1" applyAlignment="1">
      <alignment vertical="center"/>
    </xf>
    <xf numFmtId="0" fontId="16" fillId="0" borderId="0" xfId="3" applyFont="1" applyAlignment="1">
      <alignment horizontal="right" vertical="center"/>
    </xf>
    <xf numFmtId="169" fontId="23" fillId="0" borderId="0" xfId="3" applyNumberFormat="1" applyFont="1" applyAlignment="1">
      <alignment vertical="center"/>
    </xf>
    <xf numFmtId="0" fontId="13" fillId="0" borderId="0" xfId="3" applyFont="1" applyAlignment="1">
      <alignment horizontal="center" vertical="center"/>
    </xf>
    <xf numFmtId="0" fontId="22" fillId="0" borderId="0" xfId="3" applyFont="1" applyAlignment="1">
      <alignment vertical="center"/>
    </xf>
    <xf numFmtId="0" fontId="24" fillId="0" borderId="0" xfId="3" applyFont="1" applyAlignment="1">
      <alignment vertical="center"/>
    </xf>
    <xf numFmtId="0" fontId="13" fillId="0" borderId="0" xfId="3" applyFont="1" applyAlignment="1">
      <alignment horizontal="right" vertical="center"/>
    </xf>
    <xf numFmtId="169" fontId="14" fillId="0" borderId="8" xfId="3" applyNumberFormat="1" applyFont="1" applyBorder="1" applyAlignment="1">
      <alignment vertical="center"/>
    </xf>
    <xf numFmtId="169" fontId="14" fillId="2" borderId="8" xfId="3" applyNumberFormat="1" applyFont="1" applyFill="1" applyBorder="1" applyAlignment="1">
      <alignment vertical="center"/>
    </xf>
    <xf numFmtId="169" fontId="14" fillId="0" borderId="9" xfId="3" applyNumberFormat="1" applyFont="1" applyBorder="1" applyAlignment="1">
      <alignment vertical="center"/>
    </xf>
    <xf numFmtId="169" fontId="25" fillId="0" borderId="8" xfId="3" applyNumberFormat="1" applyFont="1" applyBorder="1" applyAlignment="1">
      <alignment vertical="center"/>
    </xf>
    <xf numFmtId="169" fontId="21" fillId="2" borderId="8" xfId="3" applyNumberFormat="1" applyFont="1" applyFill="1" applyBorder="1" applyAlignment="1">
      <alignment vertical="center"/>
    </xf>
    <xf numFmtId="0" fontId="13" fillId="0" borderId="0" xfId="3" applyFont="1" applyAlignment="1">
      <alignment horizontal="left" vertical="center"/>
    </xf>
    <xf numFmtId="0" fontId="26" fillId="0" borderId="0" xfId="3" applyFont="1"/>
    <xf numFmtId="0" fontId="27" fillId="0" borderId="0" xfId="3" applyFont="1" applyAlignment="1">
      <alignment horizontal="center" vertical="center"/>
    </xf>
    <xf numFmtId="10" fontId="13" fillId="0" borderId="0" xfId="3" applyNumberFormat="1" applyFont="1" applyAlignment="1">
      <alignment vertical="center"/>
    </xf>
    <xf numFmtId="0" fontId="16" fillId="0" borderId="0" xfId="3" applyFont="1" applyAlignment="1">
      <alignment horizontal="left" vertical="center"/>
    </xf>
    <xf numFmtId="169" fontId="23" fillId="2" borderId="0" xfId="3" applyNumberFormat="1" applyFont="1" applyFill="1" applyAlignment="1">
      <alignment vertical="center"/>
    </xf>
    <xf numFmtId="169" fontId="15" fillId="2" borderId="0" xfId="3" applyNumberFormat="1" applyFont="1" applyFill="1" applyAlignment="1">
      <alignment vertical="center"/>
    </xf>
    <xf numFmtId="169" fontId="26" fillId="2" borderId="0" xfId="3" applyNumberFormat="1" applyFont="1" applyFill="1"/>
    <xf numFmtId="0" fontId="15" fillId="0" borderId="0" xfId="3" applyFont="1" applyAlignment="1">
      <alignment horizontal="right" vertical="center"/>
    </xf>
    <xf numFmtId="0" fontId="15" fillId="0" borderId="0" xfId="3" applyFont="1" applyAlignment="1">
      <alignment vertical="center"/>
    </xf>
    <xf numFmtId="169" fontId="23" fillId="0" borderId="0" xfId="3" applyNumberFormat="1" applyFont="1"/>
    <xf numFmtId="169" fontId="15" fillId="0" borderId="0" xfId="3" applyNumberFormat="1" applyFont="1"/>
    <xf numFmtId="0" fontId="13" fillId="0" borderId="6" xfId="3" applyFont="1" applyBorder="1"/>
    <xf numFmtId="0" fontId="13" fillId="0" borderId="0" xfId="3" applyFont="1"/>
    <xf numFmtId="169" fontId="13" fillId="4" borderId="0" xfId="3" applyNumberFormat="1" applyFont="1" applyFill="1" applyAlignment="1">
      <alignment vertical="center"/>
    </xf>
    <xf numFmtId="169" fontId="28" fillId="2" borderId="0" xfId="3" applyNumberFormat="1" applyFont="1" applyFill="1"/>
    <xf numFmtId="0" fontId="29" fillId="0" borderId="0" xfId="3" applyFont="1" applyAlignment="1">
      <alignment vertical="center"/>
    </xf>
    <xf numFmtId="169" fontId="21" fillId="0" borderId="8" xfId="3" applyNumberFormat="1" applyFont="1" applyBorder="1" applyAlignment="1">
      <alignment vertical="center"/>
    </xf>
    <xf numFmtId="0" fontId="30" fillId="0" borderId="7" xfId="3" applyFont="1" applyBorder="1" applyAlignment="1">
      <alignment vertical="center"/>
    </xf>
    <xf numFmtId="169" fontId="31" fillId="0" borderId="0" xfId="3" applyNumberFormat="1" applyFont="1" applyAlignment="1">
      <alignment vertical="center"/>
    </xf>
    <xf numFmtId="169" fontId="28" fillId="2" borderId="0" xfId="3" applyNumberFormat="1" applyFont="1" applyFill="1" applyAlignment="1">
      <alignment vertical="center"/>
    </xf>
    <xf numFmtId="0" fontId="14" fillId="0" borderId="0" xfId="3" applyFont="1" applyAlignment="1">
      <alignment vertical="center"/>
    </xf>
    <xf numFmtId="169" fontId="24" fillId="0" borderId="0" xfId="3" applyNumberFormat="1" applyFont="1" applyAlignment="1">
      <alignment vertical="center"/>
    </xf>
    <xf numFmtId="0" fontId="24" fillId="0" borderId="0" xfId="3" applyFont="1" applyAlignment="1">
      <alignment horizontal="right" vertical="center"/>
    </xf>
    <xf numFmtId="169" fontId="14" fillId="0" borderId="0" xfId="3" applyNumberFormat="1" applyFont="1" applyAlignment="1">
      <alignment vertical="center"/>
    </xf>
    <xf numFmtId="169" fontId="14" fillId="0" borderId="6" xfId="3" applyNumberFormat="1" applyFont="1" applyBorder="1" applyAlignment="1">
      <alignment vertical="center"/>
    </xf>
    <xf numFmtId="169" fontId="13" fillId="2" borderId="0" xfId="3" applyNumberFormat="1" applyFont="1" applyFill="1" applyAlignment="1">
      <alignment vertical="center"/>
    </xf>
    <xf numFmtId="169" fontId="14" fillId="0" borderId="10" xfId="3" applyNumberFormat="1" applyFont="1" applyBorder="1" applyAlignment="1">
      <alignment vertical="center"/>
    </xf>
    <xf numFmtId="169" fontId="28" fillId="0" borderId="0" xfId="3" applyNumberFormat="1" applyFont="1" applyAlignment="1">
      <alignment vertical="center"/>
    </xf>
    <xf numFmtId="0" fontId="15" fillId="0" borderId="0" xfId="3" applyFont="1"/>
    <xf numFmtId="9" fontId="13" fillId="0" borderId="0" xfId="3" applyNumberFormat="1" applyFont="1" applyAlignment="1">
      <alignment vertical="center"/>
    </xf>
    <xf numFmtId="0" fontId="27" fillId="0" borderId="7" xfId="3" applyFont="1" applyBorder="1" applyAlignment="1">
      <alignment vertical="center"/>
    </xf>
    <xf numFmtId="0" fontId="13" fillId="0" borderId="7" xfId="3" applyFont="1" applyBorder="1" applyAlignment="1">
      <alignment vertical="center"/>
    </xf>
    <xf numFmtId="169" fontId="13" fillId="5" borderId="0" xfId="3" applyNumberFormat="1" applyFont="1" applyFill="1" applyAlignment="1">
      <alignment vertical="center"/>
    </xf>
    <xf numFmtId="0" fontId="13" fillId="5" borderId="0" xfId="3" applyFont="1" applyFill="1" applyAlignment="1">
      <alignment horizontal="center" vertical="center"/>
    </xf>
    <xf numFmtId="0" fontId="22" fillId="5" borderId="0" xfId="3" applyFont="1" applyFill="1" applyAlignment="1">
      <alignment vertical="center"/>
    </xf>
    <xf numFmtId="10" fontId="13" fillId="0" borderId="0" xfId="3" applyNumberFormat="1" applyFont="1" applyAlignment="1">
      <alignment horizontal="right" vertical="center"/>
    </xf>
    <xf numFmtId="169" fontId="21" fillId="0" borderId="0" xfId="3" applyNumberFormat="1" applyFont="1" applyAlignment="1">
      <alignment vertical="center"/>
    </xf>
    <xf numFmtId="170" fontId="13" fillId="0" borderId="0" xfId="3" applyNumberFormat="1" applyFont="1" applyAlignment="1">
      <alignment horizontal="right" vertical="center"/>
    </xf>
    <xf numFmtId="0" fontId="13" fillId="0" borderId="4" xfId="3" applyFont="1" applyBorder="1" applyAlignment="1">
      <alignment vertical="center"/>
    </xf>
    <xf numFmtId="170" fontId="13" fillId="0" borderId="4" xfId="3" applyNumberFormat="1" applyFont="1" applyBorder="1" applyAlignment="1">
      <alignment horizontal="right" vertical="center"/>
    </xf>
    <xf numFmtId="169" fontId="13" fillId="0" borderId="4" xfId="3" applyNumberFormat="1" applyFont="1" applyBorder="1" applyAlignment="1">
      <alignment vertical="center"/>
    </xf>
    <xf numFmtId="169" fontId="13" fillId="0" borderId="5" xfId="3" applyNumberFormat="1" applyFont="1" applyBorder="1" applyAlignment="1">
      <alignment vertical="center"/>
    </xf>
    <xf numFmtId="169" fontId="23" fillId="0" borderId="4" xfId="3" applyNumberFormat="1" applyFont="1" applyBorder="1" applyAlignment="1">
      <alignment vertical="center"/>
    </xf>
    <xf numFmtId="169" fontId="15" fillId="2" borderId="4" xfId="3" applyNumberFormat="1" applyFont="1" applyFill="1" applyBorder="1" applyAlignment="1">
      <alignment vertical="center"/>
    </xf>
    <xf numFmtId="169" fontId="25" fillId="0" borderId="0" xfId="3" applyNumberFormat="1" applyFont="1" applyAlignment="1">
      <alignment vertical="center"/>
    </xf>
    <xf numFmtId="0" fontId="16" fillId="0" borderId="0" xfId="3" applyFont="1" applyAlignment="1">
      <alignment vertical="center"/>
    </xf>
    <xf numFmtId="171" fontId="13" fillId="0" borderId="0" xfId="3" applyNumberFormat="1" applyFont="1" applyAlignment="1">
      <alignment vertical="center"/>
    </xf>
    <xf numFmtId="0" fontId="13" fillId="0" borderId="0" xfId="3" quotePrefix="1" applyFont="1" applyAlignment="1">
      <alignment horizontal="left" vertical="center"/>
    </xf>
    <xf numFmtId="171" fontId="14" fillId="0" borderId="0" xfId="3" applyNumberFormat="1" applyFont="1" applyAlignment="1">
      <alignment vertical="center"/>
    </xf>
    <xf numFmtId="0" fontId="14" fillId="0" borderId="0" xfId="3" applyFont="1" applyAlignment="1">
      <alignment horizontal="left" vertical="center"/>
    </xf>
    <xf numFmtId="169" fontId="16" fillId="0" borderId="0" xfId="3" applyNumberFormat="1" applyFont="1" applyAlignment="1">
      <alignment vertical="center"/>
    </xf>
    <xf numFmtId="171" fontId="29" fillId="0" borderId="0" xfId="3" applyNumberFormat="1" applyFont="1" applyAlignment="1">
      <alignment vertical="center"/>
    </xf>
    <xf numFmtId="0" fontId="29" fillId="0" borderId="0" xfId="3" applyFont="1" applyAlignment="1">
      <alignment horizontal="left" vertical="center"/>
    </xf>
    <xf numFmtId="169" fontId="32" fillId="6" borderId="0" xfId="3" applyNumberFormat="1" applyFont="1" applyFill="1"/>
    <xf numFmtId="171" fontId="33" fillId="0" borderId="0" xfId="3" applyNumberFormat="1" applyFont="1" applyAlignment="1">
      <alignment vertical="center"/>
    </xf>
    <xf numFmtId="0" fontId="33" fillId="0" borderId="0" xfId="3" applyFont="1" applyAlignment="1">
      <alignment horizontal="left" vertical="center"/>
    </xf>
    <xf numFmtId="169" fontId="13" fillId="0" borderId="0" xfId="3" applyNumberFormat="1" applyFont="1" applyFill="1" applyAlignment="1">
      <alignment vertical="center"/>
    </xf>
    <xf numFmtId="165" fontId="4" fillId="0" borderId="0" xfId="0" quotePrefix="1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16" fillId="0" borderId="0" xfId="3" applyFont="1" applyAlignment="1">
      <alignment horizontal="center" vertical="center" wrapText="1"/>
    </xf>
    <xf numFmtId="0" fontId="11" fillId="0" borderId="0" xfId="3"/>
    <xf numFmtId="0" fontId="16" fillId="0" borderId="0" xfId="3" applyFont="1" applyAlignment="1">
      <alignment vertical="center" wrapText="1"/>
    </xf>
    <xf numFmtId="0" fontId="17" fillId="0" borderId="0" xfId="3" applyFont="1" applyAlignment="1">
      <alignment horizontal="center" vertical="center" textRotation="90" wrapText="1"/>
    </xf>
    <xf numFmtId="0" fontId="13" fillId="0" borderId="0" xfId="3" applyFont="1" applyAlignment="1">
      <alignment horizontal="center" vertical="center" textRotation="90" wrapText="1"/>
    </xf>
    <xf numFmtId="0" fontId="18" fillId="0" borderId="0" xfId="3" applyFont="1" applyAlignment="1">
      <alignment vertical="center" wrapText="1"/>
    </xf>
    <xf numFmtId="0" fontId="14" fillId="0" borderId="0" xfId="3" applyFont="1" applyAlignment="1">
      <alignment horizontal="center" vertical="center" wrapText="1"/>
    </xf>
    <xf numFmtId="49" fontId="14" fillId="0" borderId="0" xfId="3" applyNumberFormat="1" applyFont="1" applyAlignment="1">
      <alignment horizontal="center" vertical="center" wrapText="1"/>
    </xf>
    <xf numFmtId="0" fontId="15" fillId="0" borderId="6" xfId="3" applyFont="1" applyBorder="1"/>
    <xf numFmtId="49" fontId="18" fillId="0" borderId="0" xfId="3" applyNumberFormat="1" applyFont="1" applyAlignment="1">
      <alignment horizontal="center" vertical="center" wrapText="1"/>
    </xf>
    <xf numFmtId="0" fontId="14" fillId="0" borderId="4" xfId="3" applyFont="1" applyBorder="1" applyAlignment="1">
      <alignment horizontal="center" vertical="center" wrapText="1"/>
    </xf>
    <xf numFmtId="0" fontId="15" fillId="0" borderId="4" xfId="3" applyFont="1" applyBorder="1"/>
    <xf numFmtId="0" fontId="15" fillId="0" borderId="5" xfId="3" applyFont="1" applyBorder="1"/>
    <xf numFmtId="0" fontId="16" fillId="0" borderId="0" xfId="3" applyFont="1" applyAlignment="1">
      <alignment horizontal="center" vertical="center" textRotation="90" wrapText="1"/>
    </xf>
    <xf numFmtId="0" fontId="35" fillId="0" borderId="0" xfId="3" applyFont="1" applyAlignment="1">
      <alignment horizontal="left" vertical="center"/>
    </xf>
    <xf numFmtId="0" fontId="36" fillId="0" borderId="0" xfId="3" applyFont="1" applyAlignment="1">
      <alignment horizontal="center"/>
    </xf>
    <xf numFmtId="0" fontId="36" fillId="0" borderId="0" xfId="3" applyFont="1" applyAlignment="1">
      <alignment horizontal="left" vertical="top"/>
    </xf>
    <xf numFmtId="0" fontId="36" fillId="0" borderId="0" xfId="3" applyFont="1" applyAlignment="1">
      <alignment horizontal="left" vertical="top"/>
    </xf>
    <xf numFmtId="0" fontId="37" fillId="0" borderId="0" xfId="3" applyFont="1" applyAlignment="1">
      <alignment vertical="center"/>
    </xf>
    <xf numFmtId="173" fontId="22" fillId="0" borderId="0" xfId="3" applyNumberFormat="1" applyFont="1" applyAlignment="1">
      <alignment horizontal="right" vertical="center"/>
    </xf>
    <xf numFmtId="173" fontId="37" fillId="0" borderId="0" xfId="3" applyNumberFormat="1" applyFont="1" applyAlignment="1">
      <alignment vertical="center"/>
    </xf>
    <xf numFmtId="0" fontId="36" fillId="0" borderId="0" xfId="3" applyFont="1" applyAlignment="1">
      <alignment horizontal="right" vertical="center"/>
    </xf>
    <xf numFmtId="0" fontId="38" fillId="0" borderId="0" xfId="3" applyFont="1" applyAlignment="1">
      <alignment horizontal="center" vertical="center" wrapText="1"/>
    </xf>
    <xf numFmtId="0" fontId="18" fillId="0" borderId="0" xfId="3" applyFont="1" applyAlignment="1">
      <alignment vertical="center"/>
    </xf>
    <xf numFmtId="0" fontId="36" fillId="0" borderId="0" xfId="3" applyFont="1" applyAlignment="1">
      <alignment vertical="center"/>
    </xf>
    <xf numFmtId="173" fontId="25" fillId="3" borderId="0" xfId="3" applyNumberFormat="1" applyFont="1" applyFill="1" applyAlignment="1">
      <alignment vertical="center"/>
    </xf>
    <xf numFmtId="0" fontId="37" fillId="3" borderId="0" xfId="3" applyFont="1" applyFill="1" applyAlignment="1">
      <alignment vertical="center"/>
    </xf>
    <xf numFmtId="173" fontId="38" fillId="3" borderId="11" xfId="3" applyNumberFormat="1" applyFont="1" applyFill="1" applyBorder="1" applyAlignment="1">
      <alignment vertical="center"/>
    </xf>
    <xf numFmtId="0" fontId="36" fillId="3" borderId="0" xfId="3" applyFont="1" applyFill="1" applyAlignment="1">
      <alignment vertical="center"/>
    </xf>
    <xf numFmtId="173" fontId="39" fillId="3" borderId="0" xfId="3" applyNumberFormat="1" applyFont="1" applyFill="1" applyAlignment="1">
      <alignment vertical="center"/>
    </xf>
    <xf numFmtId="0" fontId="13" fillId="3" borderId="0" xfId="3" applyFont="1" applyFill="1" applyAlignment="1">
      <alignment vertical="center"/>
    </xf>
    <xf numFmtId="173" fontId="38" fillId="3" borderId="8" xfId="3" applyNumberFormat="1" applyFont="1" applyFill="1" applyBorder="1" applyAlignment="1">
      <alignment vertical="center"/>
    </xf>
    <xf numFmtId="0" fontId="14" fillId="3" borderId="0" xfId="3" applyFont="1" applyFill="1" applyAlignment="1">
      <alignment vertical="center"/>
    </xf>
    <xf numFmtId="173" fontId="38" fillId="3" borderId="12" xfId="3" applyNumberFormat="1" applyFont="1" applyFill="1" applyBorder="1" applyAlignment="1">
      <alignment vertical="center"/>
    </xf>
    <xf numFmtId="173" fontId="38" fillId="3" borderId="13" xfId="3" applyNumberFormat="1" applyFont="1" applyFill="1" applyBorder="1" applyAlignment="1">
      <alignment vertical="center"/>
    </xf>
    <xf numFmtId="0" fontId="37" fillId="0" borderId="14" xfId="3" applyFont="1" applyBorder="1" applyAlignment="1">
      <alignment horizontal="center" vertical="center"/>
    </xf>
    <xf numFmtId="0" fontId="40" fillId="0" borderId="14" xfId="3" applyFont="1" applyBorder="1" applyAlignment="1">
      <alignment vertical="center"/>
    </xf>
    <xf numFmtId="0" fontId="37" fillId="0" borderId="14" xfId="3" applyFont="1" applyBorder="1" applyAlignment="1">
      <alignment vertical="center"/>
    </xf>
    <xf numFmtId="0" fontId="38" fillId="0" borderId="14" xfId="3" applyFont="1" applyBorder="1" applyAlignment="1">
      <alignment horizontal="center" vertical="center" wrapText="1"/>
    </xf>
    <xf numFmtId="0" fontId="22" fillId="0" borderId="14" xfId="3" applyFont="1" applyBorder="1" applyAlignment="1">
      <alignment vertical="center"/>
    </xf>
    <xf numFmtId="0" fontId="36" fillId="0" borderId="14" xfId="3" applyFont="1" applyBorder="1"/>
    <xf numFmtId="0" fontId="18" fillId="0" borderId="14" xfId="3" applyFont="1" applyBorder="1" applyAlignment="1">
      <alignment vertical="center"/>
    </xf>
    <xf numFmtId="0" fontId="37" fillId="0" borderId="0" xfId="3" applyFont="1" applyAlignment="1">
      <alignment horizontal="center" vertical="center"/>
    </xf>
    <xf numFmtId="0" fontId="40" fillId="0" borderId="0" xfId="3" applyFont="1" applyAlignment="1">
      <alignment vertical="center"/>
    </xf>
    <xf numFmtId="0" fontId="38" fillId="0" borderId="0" xfId="3" applyFont="1" applyAlignment="1">
      <alignment horizontal="center" vertical="center" wrapText="1"/>
    </xf>
    <xf numFmtId="0" fontId="38" fillId="0" borderId="4" xfId="3" applyFont="1" applyBorder="1" applyAlignment="1">
      <alignment horizontal="center" vertical="center" wrapText="1"/>
    </xf>
    <xf numFmtId="0" fontId="18" fillId="0" borderId="4" xfId="3" applyFont="1" applyBorder="1" applyAlignment="1">
      <alignment vertical="center"/>
    </xf>
    <xf numFmtId="173" fontId="18" fillId="0" borderId="0" xfId="3" applyNumberFormat="1" applyFont="1" applyAlignment="1">
      <alignment horizontal="right" vertical="center"/>
    </xf>
    <xf numFmtId="173" fontId="36" fillId="0" borderId="0" xfId="3" applyNumberFormat="1" applyFont="1" applyAlignment="1">
      <alignment horizontal="right" vertical="center"/>
    </xf>
    <xf numFmtId="173" fontId="39" fillId="0" borderId="0" xfId="3" applyNumberFormat="1" applyFont="1" applyAlignment="1">
      <alignment horizontal="right" vertical="center"/>
    </xf>
    <xf numFmtId="0" fontId="41" fillId="0" borderId="0" xfId="3" applyFont="1" applyAlignment="1">
      <alignment vertical="center"/>
    </xf>
    <xf numFmtId="0" fontId="42" fillId="0" borderId="0" xfId="3" applyFont="1" applyAlignment="1">
      <alignment vertical="center"/>
    </xf>
    <xf numFmtId="0" fontId="43" fillId="0" borderId="0" xfId="3" applyFont="1" applyAlignment="1">
      <alignment vertical="center"/>
    </xf>
    <xf numFmtId="173" fontId="41" fillId="0" borderId="0" xfId="3" applyNumberFormat="1" applyFont="1" applyAlignment="1">
      <alignment horizontal="right" vertical="center"/>
    </xf>
    <xf numFmtId="173" fontId="44" fillId="0" borderId="0" xfId="3" applyNumberFormat="1" applyFont="1" applyAlignment="1">
      <alignment horizontal="right" vertical="center"/>
    </xf>
    <xf numFmtId="0" fontId="22" fillId="0" borderId="0" xfId="3" applyFont="1" applyAlignment="1">
      <alignment horizontal="right" vertical="center"/>
    </xf>
    <xf numFmtId="0" fontId="45" fillId="0" borderId="0" xfId="3" applyFont="1" applyAlignment="1">
      <alignment vertical="center"/>
    </xf>
    <xf numFmtId="0" fontId="39" fillId="0" borderId="0" xfId="3" applyFont="1" applyAlignment="1">
      <alignment vertical="center"/>
    </xf>
    <xf numFmtId="0" fontId="32" fillId="0" borderId="0" xfId="3" applyFont="1" applyAlignment="1">
      <alignment vertical="center"/>
    </xf>
    <xf numFmtId="0" fontId="37" fillId="7" borderId="0" xfId="3" applyFont="1" applyFill="1" applyAlignment="1">
      <alignment vertical="center"/>
    </xf>
    <xf numFmtId="0" fontId="36" fillId="7" borderId="0" xfId="3" applyFont="1" applyFill="1" applyAlignment="1">
      <alignment vertical="center"/>
    </xf>
    <xf numFmtId="173" fontId="38" fillId="0" borderId="11" xfId="3" applyNumberFormat="1" applyFont="1" applyBorder="1" applyAlignment="1">
      <alignment horizontal="right" vertical="center"/>
    </xf>
    <xf numFmtId="0" fontId="46" fillId="0" borderId="0" xfId="3" applyFont="1" applyAlignment="1">
      <alignment vertical="center"/>
    </xf>
    <xf numFmtId="9" fontId="46" fillId="0" borderId="0" xfId="3" applyNumberFormat="1" applyFont="1" applyAlignment="1">
      <alignment horizontal="right" vertical="center"/>
    </xf>
    <xf numFmtId="0" fontId="37" fillId="0" borderId="0" xfId="3" applyFont="1"/>
    <xf numFmtId="171" fontId="39" fillId="0" borderId="0" xfId="3" applyNumberFormat="1" applyFont="1" applyAlignment="1">
      <alignment horizontal="right" vertical="center"/>
    </xf>
    <xf numFmtId="10" fontId="39" fillId="0" borderId="0" xfId="3" applyNumberFormat="1" applyFont="1" applyAlignment="1">
      <alignment horizontal="right" vertical="center"/>
    </xf>
    <xf numFmtId="9" fontId="22" fillId="0" borderId="0" xfId="3" applyNumberFormat="1" applyFont="1" applyAlignment="1">
      <alignment vertical="center"/>
    </xf>
    <xf numFmtId="0" fontId="47" fillId="0" borderId="0" xfId="3" applyFont="1" applyAlignment="1">
      <alignment vertical="center"/>
    </xf>
    <xf numFmtId="0" fontId="22" fillId="8" borderId="0" xfId="3" applyFont="1" applyFill="1" applyAlignment="1">
      <alignment vertical="center"/>
    </xf>
    <xf numFmtId="0" fontId="44" fillId="0" borderId="0" xfId="3" applyFont="1" applyAlignment="1">
      <alignment vertical="center"/>
    </xf>
    <xf numFmtId="0" fontId="36" fillId="9" borderId="0" xfId="3" applyFont="1" applyFill="1" applyAlignment="1">
      <alignment vertical="center"/>
    </xf>
    <xf numFmtId="173" fontId="39" fillId="0" borderId="11" xfId="3" applyNumberFormat="1" applyFont="1" applyBorder="1" applyAlignment="1">
      <alignment horizontal="right" vertical="center"/>
    </xf>
    <xf numFmtId="10" fontId="22" fillId="0" borderId="0" xfId="3" applyNumberFormat="1" applyFont="1" applyAlignment="1">
      <alignment vertical="center"/>
    </xf>
    <xf numFmtId="0" fontId="32" fillId="0" borderId="0" xfId="3" applyFont="1" applyAlignment="1">
      <alignment horizontal="left" vertical="center"/>
    </xf>
    <xf numFmtId="0" fontId="18" fillId="0" borderId="0" xfId="3" applyFont="1" applyAlignment="1">
      <alignment horizontal="left" vertical="center"/>
    </xf>
    <xf numFmtId="0" fontId="22" fillId="0" borderId="0" xfId="3" applyFont="1" applyAlignment="1">
      <alignment horizontal="left" vertical="center"/>
    </xf>
    <xf numFmtId="173" fontId="38" fillId="0" borderId="0" xfId="3" applyNumberFormat="1" applyFont="1" applyAlignment="1">
      <alignment horizontal="right" vertical="center"/>
    </xf>
    <xf numFmtId="0" fontId="36" fillId="0" borderId="0" xfId="3" applyFont="1"/>
    <xf numFmtId="0" fontId="48" fillId="0" borderId="0" xfId="3" applyFont="1" applyAlignment="1">
      <alignment vertical="center"/>
    </xf>
    <xf numFmtId="173" fontId="48" fillId="0" borderId="0" xfId="3" applyNumberFormat="1" applyFont="1" applyAlignment="1">
      <alignment vertical="center"/>
    </xf>
    <xf numFmtId="173" fontId="42" fillId="0" borderId="0" xfId="3" applyNumberFormat="1" applyFont="1" applyAlignment="1">
      <alignment horizontal="right" vertical="center"/>
    </xf>
    <xf numFmtId="0" fontId="37" fillId="9" borderId="0" xfId="3" applyFont="1" applyFill="1" applyAlignment="1">
      <alignment vertical="center"/>
    </xf>
    <xf numFmtId="170" fontId="22" fillId="0" borderId="0" xfId="3" applyNumberFormat="1" applyFont="1" applyAlignment="1">
      <alignment vertical="center"/>
    </xf>
    <xf numFmtId="0" fontId="49" fillId="0" borderId="0" xfId="3" applyFont="1"/>
    <xf numFmtId="0" fontId="37" fillId="10" borderId="0" xfId="3" applyFont="1" applyFill="1" applyAlignment="1">
      <alignment vertical="center"/>
    </xf>
    <xf numFmtId="0" fontId="37" fillId="10" borderId="0" xfId="3" applyFont="1" applyFill="1" applyAlignment="1">
      <alignment vertical="center"/>
    </xf>
    <xf numFmtId="173" fontId="38" fillId="0" borderId="12" xfId="3" applyNumberFormat="1" applyFont="1" applyBorder="1" applyAlignment="1">
      <alignment horizontal="right" vertical="center"/>
    </xf>
    <xf numFmtId="0" fontId="36" fillId="0" borderId="15" xfId="3" applyFont="1" applyBorder="1" applyAlignment="1">
      <alignment horizontal="right" vertical="center"/>
    </xf>
    <xf numFmtId="173" fontId="36" fillId="0" borderId="0" xfId="3" applyNumberFormat="1" applyFont="1" applyAlignment="1">
      <alignment vertical="center"/>
    </xf>
    <xf numFmtId="173" fontId="37" fillId="0" borderId="12" xfId="3" applyNumberFormat="1" applyFont="1" applyBorder="1" applyAlignment="1">
      <alignment horizontal="right" vertical="center"/>
    </xf>
    <xf numFmtId="0" fontId="50" fillId="0" borderId="0" xfId="3" applyFont="1" applyAlignment="1">
      <alignment vertical="center"/>
    </xf>
    <xf numFmtId="173" fontId="37" fillId="0" borderId="0" xfId="3" applyNumberFormat="1" applyFont="1" applyAlignment="1">
      <alignment horizontal="right" vertical="center"/>
    </xf>
    <xf numFmtId="0" fontId="22" fillId="0" borderId="4" xfId="3" applyFont="1" applyBorder="1" applyAlignment="1">
      <alignment horizontal="center"/>
    </xf>
    <xf numFmtId="10" fontId="37" fillId="0" borderId="0" xfId="3" applyNumberFormat="1" applyFont="1" applyAlignment="1">
      <alignment vertical="center"/>
    </xf>
    <xf numFmtId="9" fontId="36" fillId="0" borderId="0" xfId="3" applyNumberFormat="1" applyFont="1" applyAlignment="1">
      <alignment vertical="center"/>
    </xf>
    <xf numFmtId="9" fontId="37" fillId="0" borderId="12" xfId="3" applyNumberFormat="1" applyFont="1" applyBorder="1" applyAlignment="1">
      <alignment vertical="center"/>
    </xf>
    <xf numFmtId="0" fontId="43" fillId="0" borderId="0" xfId="3" applyFont="1" applyAlignment="1">
      <alignment vertical="center" wrapText="1"/>
    </xf>
    <xf numFmtId="0" fontId="43" fillId="0" borderId="0" xfId="3" applyFont="1" applyAlignment="1">
      <alignment vertical="center" wrapText="1"/>
    </xf>
    <xf numFmtId="0" fontId="18" fillId="0" borderId="0" xfId="3" applyFont="1" applyAlignment="1">
      <alignment horizontal="right" vertical="center"/>
    </xf>
    <xf numFmtId="173" fontId="36" fillId="0" borderId="0" xfId="3" applyNumberFormat="1" applyFont="1"/>
    <xf numFmtId="168" fontId="7" fillId="0" borderId="1" xfId="2" applyNumberFormat="1" applyFont="1" applyBorder="1"/>
    <xf numFmtId="0" fontId="4" fillId="11" borderId="0" xfId="0" applyFont="1" applyFill="1" applyBorder="1" applyAlignment="1"/>
    <xf numFmtId="0" fontId="4" fillId="11" borderId="3" xfId="0" quotePrefix="1" applyFont="1" applyFill="1" applyBorder="1" applyAlignment="1"/>
    <xf numFmtId="165" fontId="6" fillId="11" borderId="0" xfId="0" applyNumberFormat="1" applyFont="1" applyFill="1"/>
    <xf numFmtId="165" fontId="4" fillId="11" borderId="0" xfId="0" quotePrefix="1" applyNumberFormat="1" applyFont="1" applyFill="1" applyAlignment="1">
      <alignment horizontal="center"/>
    </xf>
    <xf numFmtId="165" fontId="4" fillId="11" borderId="0" xfId="0" applyNumberFormat="1" applyFont="1" applyFill="1" applyAlignment="1">
      <alignment horizontal="center"/>
    </xf>
    <xf numFmtId="165" fontId="4" fillId="11" borderId="0" xfId="1" applyNumberFormat="1" applyFont="1" applyFill="1"/>
    <xf numFmtId="166" fontId="6" fillId="11" borderId="0" xfId="2" applyNumberFormat="1" applyFont="1" applyFill="1"/>
    <xf numFmtId="165" fontId="6" fillId="11" borderId="0" xfId="1" applyNumberFormat="1" applyFont="1" applyFill="1"/>
    <xf numFmtId="167" fontId="6" fillId="11" borderId="0" xfId="1" applyNumberFormat="1" applyFont="1" applyFill="1"/>
    <xf numFmtId="165" fontId="6" fillId="11" borderId="0" xfId="1" applyNumberFormat="1" applyFont="1" applyFill="1" applyBorder="1"/>
    <xf numFmtId="165" fontId="6" fillId="11" borderId="1" xfId="1" applyNumberFormat="1" applyFont="1" applyFill="1" applyBorder="1"/>
    <xf numFmtId="164" fontId="4" fillId="11" borderId="0" xfId="1" applyNumberFormat="1" applyFont="1" applyFill="1"/>
    <xf numFmtId="165" fontId="4" fillId="11" borderId="1" xfId="2" applyNumberFormat="1" applyFont="1" applyFill="1" applyBorder="1"/>
    <xf numFmtId="164" fontId="4" fillId="11" borderId="0" xfId="2" applyNumberFormat="1" applyFont="1" applyFill="1"/>
    <xf numFmtId="164" fontId="6" fillId="11" borderId="0" xfId="2" applyNumberFormat="1" applyFont="1" applyFill="1"/>
    <xf numFmtId="168" fontId="6" fillId="11" borderId="0" xfId="1" applyNumberFormat="1" applyFont="1" applyFill="1"/>
    <xf numFmtId="165" fontId="6" fillId="11" borderId="0" xfId="2" applyNumberFormat="1" applyFont="1" applyFill="1"/>
    <xf numFmtId="167" fontId="6" fillId="11" borderId="0" xfId="1" applyNumberFormat="1" applyFont="1" applyFill="1" applyBorder="1"/>
    <xf numFmtId="167" fontId="6" fillId="11" borderId="1" xfId="1" applyNumberFormat="1" applyFont="1" applyFill="1" applyBorder="1"/>
    <xf numFmtId="165" fontId="4" fillId="11" borderId="1" xfId="1" applyNumberFormat="1" applyFont="1" applyFill="1" applyBorder="1"/>
    <xf numFmtId="164" fontId="4" fillId="11" borderId="2" xfId="1" applyNumberFormat="1" applyFont="1" applyFill="1" applyBorder="1"/>
    <xf numFmtId="165" fontId="7" fillId="11" borderId="0" xfId="1" applyNumberFormat="1" applyFont="1" applyFill="1"/>
    <xf numFmtId="165" fontId="7" fillId="11" borderId="0" xfId="0" applyNumberFormat="1" applyFont="1" applyFill="1"/>
    <xf numFmtId="165" fontId="7" fillId="11" borderId="1" xfId="0" applyNumberFormat="1" applyFont="1" applyFill="1" applyBorder="1"/>
    <xf numFmtId="167" fontId="7" fillId="11" borderId="0" xfId="0" applyNumberFormat="1" applyFont="1" applyFill="1"/>
    <xf numFmtId="43" fontId="51" fillId="11" borderId="0" xfId="1" applyFont="1" applyFill="1"/>
    <xf numFmtId="0" fontId="26" fillId="0" borderId="0" xfId="3" applyFont="1" applyAlignment="1">
      <alignment horizontal="left" vertical="top"/>
    </xf>
    <xf numFmtId="173" fontId="52" fillId="0" borderId="0" xfId="3" applyNumberFormat="1" applyFont="1" applyAlignment="1">
      <alignment horizontal="right" vertical="center"/>
    </xf>
    <xf numFmtId="173" fontId="53" fillId="0" borderId="0" xfId="3" applyNumberFormat="1" applyFont="1" applyAlignment="1">
      <alignment vertical="center"/>
    </xf>
    <xf numFmtId="173" fontId="54" fillId="3" borderId="0" xfId="3" applyNumberFormat="1" applyFont="1" applyFill="1" applyAlignment="1">
      <alignment vertical="center"/>
    </xf>
    <xf numFmtId="0" fontId="26" fillId="3" borderId="0" xfId="3" applyFont="1" applyFill="1"/>
    <xf numFmtId="173" fontId="53" fillId="3" borderId="11" xfId="3" applyNumberFormat="1" applyFont="1" applyFill="1" applyBorder="1" applyAlignment="1">
      <alignment vertical="center"/>
    </xf>
    <xf numFmtId="173" fontId="26" fillId="3" borderId="0" xfId="3" applyNumberFormat="1" applyFont="1" applyFill="1" applyAlignment="1">
      <alignment vertical="center"/>
    </xf>
    <xf numFmtId="173" fontId="53" fillId="3" borderId="8" xfId="3" applyNumberFormat="1" applyFont="1" applyFill="1" applyBorder="1" applyAlignment="1">
      <alignment vertical="center"/>
    </xf>
    <xf numFmtId="173" fontId="53" fillId="3" borderId="12" xfId="3" applyNumberFormat="1" applyFont="1" applyFill="1" applyBorder="1" applyAlignment="1">
      <alignment vertical="center"/>
    </xf>
    <xf numFmtId="173" fontId="53" fillId="3" borderId="13" xfId="3" applyNumberFormat="1" applyFont="1" applyFill="1" applyBorder="1" applyAlignment="1">
      <alignment vertical="center"/>
    </xf>
    <xf numFmtId="1" fontId="54" fillId="0" borderId="14" xfId="3" applyNumberFormat="1" applyFont="1" applyBorder="1" applyAlignment="1">
      <alignment horizontal="center" vertical="center"/>
    </xf>
    <xf numFmtId="0" fontId="53" fillId="0" borderId="14" xfId="3" applyFont="1" applyBorder="1" applyAlignment="1">
      <alignment horizontal="center" vertical="center" wrapText="1"/>
    </xf>
    <xf numFmtId="1" fontId="54" fillId="0" borderId="0" xfId="3" applyNumberFormat="1" applyFont="1" applyAlignment="1">
      <alignment horizontal="center" vertical="center"/>
    </xf>
    <xf numFmtId="0" fontId="53" fillId="0" borderId="0" xfId="3" applyFont="1" applyAlignment="1">
      <alignment horizontal="center" vertical="center" wrapText="1"/>
    </xf>
    <xf numFmtId="0" fontId="54" fillId="0" borderId="0" xfId="3" applyFont="1" applyAlignment="1">
      <alignment horizontal="center" vertical="center"/>
    </xf>
    <xf numFmtId="0" fontId="53" fillId="0" borderId="4" xfId="3" applyFont="1" applyBorder="1" applyAlignment="1">
      <alignment horizontal="center" vertical="center" wrapText="1"/>
    </xf>
    <xf numFmtId="173" fontId="26" fillId="0" borderId="0" xfId="3" applyNumberFormat="1" applyFont="1" applyAlignment="1">
      <alignment horizontal="right" vertical="center"/>
    </xf>
    <xf numFmtId="173" fontId="55" fillId="0" borderId="0" xfId="3" applyNumberFormat="1" applyFont="1" applyAlignment="1">
      <alignment horizontal="right" vertical="center"/>
    </xf>
    <xf numFmtId="173" fontId="56" fillId="0" borderId="0" xfId="3" applyNumberFormat="1" applyFont="1" applyAlignment="1">
      <alignment horizontal="right" vertical="center"/>
    </xf>
    <xf numFmtId="0" fontId="26" fillId="0" borderId="0" xfId="3" applyFont="1" applyAlignment="1">
      <alignment vertical="center"/>
    </xf>
    <xf numFmtId="0" fontId="52" fillId="0" borderId="0" xfId="3" applyFont="1" applyAlignment="1">
      <alignment vertical="center"/>
    </xf>
    <xf numFmtId="0" fontId="52" fillId="0" borderId="0" xfId="3" applyFont="1" applyAlignment="1">
      <alignment horizontal="right" vertical="center"/>
    </xf>
    <xf numFmtId="173" fontId="54" fillId="7" borderId="0" xfId="3" applyNumberFormat="1" applyFont="1" applyFill="1" applyAlignment="1">
      <alignment horizontal="right" vertical="center"/>
    </xf>
    <xf numFmtId="173" fontId="53" fillId="7" borderId="11" xfId="3" applyNumberFormat="1" applyFont="1" applyFill="1" applyBorder="1" applyAlignment="1">
      <alignment horizontal="right" vertical="center"/>
    </xf>
    <xf numFmtId="9" fontId="26" fillId="0" borderId="0" xfId="3" applyNumberFormat="1" applyFont="1" applyAlignment="1">
      <alignment horizontal="right" vertical="center"/>
    </xf>
    <xf numFmtId="0" fontId="54" fillId="0" borderId="0" xfId="3" applyFont="1" applyAlignment="1">
      <alignment vertical="center"/>
    </xf>
    <xf numFmtId="0" fontId="53" fillId="0" borderId="0" xfId="3" applyFont="1" applyAlignment="1">
      <alignment vertical="center"/>
    </xf>
    <xf numFmtId="173" fontId="52" fillId="8" borderId="0" xfId="3" applyNumberFormat="1" applyFont="1" applyFill="1" applyAlignment="1">
      <alignment horizontal="right" vertical="center"/>
    </xf>
    <xf numFmtId="0" fontId="56" fillId="0" borderId="0" xfId="3" applyFont="1" applyAlignment="1">
      <alignment vertical="center"/>
    </xf>
    <xf numFmtId="173" fontId="52" fillId="9" borderId="0" xfId="3" applyNumberFormat="1" applyFont="1" applyFill="1" applyAlignment="1">
      <alignment horizontal="right" vertical="center"/>
    </xf>
    <xf numFmtId="173" fontId="26" fillId="9" borderId="11" xfId="3" applyNumberFormat="1" applyFont="1" applyFill="1" applyBorder="1" applyAlignment="1">
      <alignment horizontal="right" vertical="center"/>
    </xf>
    <xf numFmtId="173" fontId="54" fillId="9" borderId="0" xfId="3" applyNumberFormat="1" applyFont="1" applyFill="1" applyAlignment="1">
      <alignment horizontal="right" vertical="center"/>
    </xf>
    <xf numFmtId="173" fontId="53" fillId="9" borderId="11" xfId="3" applyNumberFormat="1" applyFont="1" applyFill="1" applyBorder="1" applyAlignment="1">
      <alignment horizontal="right" vertical="center"/>
    </xf>
    <xf numFmtId="170" fontId="52" fillId="0" borderId="0" xfId="3" applyNumberFormat="1" applyFont="1" applyAlignment="1">
      <alignment horizontal="right" vertical="center"/>
    </xf>
    <xf numFmtId="173" fontId="54" fillId="10" borderId="0" xfId="3" applyNumberFormat="1" applyFont="1" applyFill="1" applyAlignment="1">
      <alignment horizontal="right" vertical="center"/>
    </xf>
    <xf numFmtId="173" fontId="53" fillId="10" borderId="12" xfId="3" applyNumberFormat="1" applyFont="1" applyFill="1" applyBorder="1" applyAlignment="1">
      <alignment horizontal="right" vertical="center"/>
    </xf>
    <xf numFmtId="0" fontId="26" fillId="0" borderId="14" xfId="3" applyFont="1" applyBorder="1"/>
    <xf numFmtId="173" fontId="26" fillId="0" borderId="0" xfId="3" applyNumberFormat="1" applyFont="1" applyAlignment="1">
      <alignment vertical="center"/>
    </xf>
    <xf numFmtId="173" fontId="53" fillId="0" borderId="12" xfId="3" applyNumberFormat="1" applyFont="1" applyBorder="1" applyAlignment="1">
      <alignment horizontal="right" vertical="center"/>
    </xf>
    <xf numFmtId="173" fontId="54" fillId="0" borderId="0" xfId="3" applyNumberFormat="1" applyFont="1" applyAlignment="1">
      <alignment horizontal="right" vertical="center"/>
    </xf>
    <xf numFmtId="173" fontId="26" fillId="0" borderId="11" xfId="3" applyNumberFormat="1" applyFont="1" applyBorder="1" applyAlignment="1">
      <alignment vertical="center"/>
    </xf>
    <xf numFmtId="173" fontId="26" fillId="0" borderId="8" xfId="3" applyNumberFormat="1" applyFont="1" applyBorder="1" applyAlignment="1">
      <alignment vertical="center"/>
    </xf>
    <xf numFmtId="173" fontId="53" fillId="0" borderId="11" xfId="3" applyNumberFormat="1" applyFont="1" applyBorder="1" applyAlignment="1">
      <alignment horizontal="right" vertical="center"/>
    </xf>
    <xf numFmtId="173" fontId="53" fillId="0" borderId="0" xfId="3" applyNumberFormat="1" applyFont="1" applyAlignment="1">
      <alignment horizontal="right" vertical="center"/>
    </xf>
    <xf numFmtId="0" fontId="53" fillId="0" borderId="4" xfId="3" applyFont="1" applyBorder="1" applyAlignment="1">
      <alignment horizontal="center"/>
    </xf>
    <xf numFmtId="173" fontId="26" fillId="0" borderId="4" xfId="3" applyNumberFormat="1" applyFont="1" applyBorder="1" applyAlignment="1">
      <alignment vertical="center"/>
    </xf>
    <xf numFmtId="0" fontId="56" fillId="0" borderId="0" xfId="3" applyFont="1" applyAlignment="1">
      <alignment vertical="center" wrapText="1"/>
    </xf>
    <xf numFmtId="173" fontId="26" fillId="0" borderId="0" xfId="3" applyNumberFormat="1" applyFont="1"/>
    <xf numFmtId="0" fontId="53" fillId="0" borderId="0" xfId="3" applyFont="1"/>
  </cellXfs>
  <cellStyles count="4">
    <cellStyle name="Comma" xfId="1" builtinId="3"/>
    <cellStyle name="Currency" xfId="2" builtinId="4"/>
    <cellStyle name="Normal" xfId="0" builtinId="0"/>
    <cellStyle name="Normal 2" xfId="3" xr:uid="{D4011692-07E7-4193-AD91-DA827ECDF6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lang="en-CA" b="1">
                <a:solidFill>
                  <a:srgbClr val="757575"/>
                </a:solidFill>
                <a:latin typeface="+mn-lt"/>
              </a:rPr>
              <a:t>2022 Budgeted Revenue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79C7D8"/>
              </a:solidFill>
            </c:spPr>
            <c:extLst>
              <c:ext xmlns:c16="http://schemas.microsoft.com/office/drawing/2014/chart" uri="{C3380CC4-5D6E-409C-BE32-E72D297353CC}">
                <c16:uniqueId val="{00000001-B9E0-4E30-B983-B2D123710225}"/>
              </c:ext>
            </c:extLst>
          </c:dPt>
          <c:dPt>
            <c:idx val="1"/>
            <c:bubble3D val="0"/>
            <c:spPr>
              <a:solidFill>
                <a:srgbClr val="8A79D8"/>
              </a:solidFill>
            </c:spPr>
            <c:extLst>
              <c:ext xmlns:c16="http://schemas.microsoft.com/office/drawing/2014/chart" uri="{C3380CC4-5D6E-409C-BE32-E72D297353CC}">
                <c16:uniqueId val="{00000003-B9E0-4E30-B983-B2D123710225}"/>
              </c:ext>
            </c:extLst>
          </c:dPt>
          <c:dPt>
            <c:idx val="2"/>
            <c:bubble3D val="0"/>
            <c:spPr>
              <a:solidFill>
                <a:srgbClr val="D88A79"/>
              </a:solidFill>
            </c:spPr>
            <c:extLst>
              <c:ext xmlns:c16="http://schemas.microsoft.com/office/drawing/2014/chart" uri="{C3380CC4-5D6E-409C-BE32-E72D297353CC}">
                <c16:uniqueId val="{00000005-B9E0-4E30-B983-B2D123710225}"/>
              </c:ext>
            </c:extLst>
          </c:dPt>
          <c:dPt>
            <c:idx val="3"/>
            <c:bubble3D val="0"/>
            <c:spPr>
              <a:solidFill>
                <a:srgbClr val="C8C8C8"/>
              </a:solidFill>
            </c:spPr>
            <c:extLst>
              <c:ext xmlns:c16="http://schemas.microsoft.com/office/drawing/2014/chart" uri="{C3380CC4-5D6E-409C-BE32-E72D297353CC}">
                <c16:uniqueId val="{00000007-B9E0-4E30-B983-B2D123710225}"/>
              </c:ext>
            </c:extLst>
          </c:dPt>
          <c:dPt>
            <c:idx val="4"/>
            <c:bubble3D val="0"/>
            <c:spPr>
              <a:solidFill>
                <a:srgbClr val="D879C7"/>
              </a:solidFill>
            </c:spPr>
            <c:extLst>
              <c:ext xmlns:c16="http://schemas.microsoft.com/office/drawing/2014/chart" uri="{C3380CC4-5D6E-409C-BE32-E72D297353CC}">
                <c16:uniqueId val="{00000009-B9E0-4E30-B983-B2D123710225}"/>
              </c:ext>
            </c:extLst>
          </c:dPt>
          <c:dPt>
            <c:idx val="5"/>
            <c:bubble3D val="0"/>
            <c:spPr>
              <a:solidFill>
                <a:srgbClr val="C7D879"/>
              </a:solidFill>
            </c:spPr>
            <c:extLst>
              <c:ext xmlns:c16="http://schemas.microsoft.com/office/drawing/2014/chart" uri="{C3380CC4-5D6E-409C-BE32-E72D297353CC}">
                <c16:uniqueId val="{0000000B-B9E0-4E30-B983-B2D123710225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B9E0-4E30-B983-B2D12371022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E-B9E0-4E30-B983-B2D12371022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B9E0-4E30-B983-B2D12371022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0-B9E0-4E30-B983-B2D12371022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1-B9E0-4E30-B983-B2D123710225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2-B9E0-4E30-B983-B2D12371022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3-B9E0-4E30-B983-B2D12371022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4-B9E0-4E30-B983-B2D12371022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5-B9E0-4E30-B983-B2D12371022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6-B9E0-4E30-B983-B2D12371022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7-B9E0-4E30-B983-B2D12371022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8-B9E0-4E30-B983-B2D123710225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9-B9E0-4E30-B983-B2D123710225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A-B9E0-4E30-B983-B2D123710225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B-B9E0-4E30-B983-B2D123710225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C-B9E0-4E30-B983-B2D123710225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D-B9E0-4E30-B983-B2D123710225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E-B9E0-4E30-B983-B2D123710225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F-B9E0-4E30-B983-B2D123710225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20-B9E0-4E30-B983-B2D123710225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21-B9E0-4E30-B983-B2D123710225}"/>
              </c:ext>
            </c:extLst>
          </c:dPt>
          <c:cat>
            <c:strRef>
              <c:f>Summary!$B$32:$B$58</c:f>
              <c:strCache>
                <c:ptCount val="7"/>
                <c:pt idx="0">
                  <c:v>Donations</c:v>
                </c:pt>
                <c:pt idx="1">
                  <c:v>Memberships</c:v>
                </c:pt>
                <c:pt idx="2">
                  <c:v>Sponsorships</c:v>
                </c:pt>
                <c:pt idx="3">
                  <c:v>Fundraising events</c:v>
                </c:pt>
                <c:pt idx="4">
                  <c:v>Grants</c:v>
                </c:pt>
                <c:pt idx="5">
                  <c:v>Social enterprises</c:v>
                </c:pt>
                <c:pt idx="6">
                  <c:v>Other revenue</c:v>
                </c:pt>
              </c:strCache>
            </c:strRef>
          </c:cat>
          <c:val>
            <c:numRef>
              <c:f>Summary!$F$32:$F$58</c:f>
              <c:numCache>
                <c:formatCode>_("$"* #,##0_);_("$"* \(#,##0\);_("$"* "-"??_);_(@_)</c:formatCode>
                <c:ptCount val="7"/>
                <c:pt idx="0">
                  <c:v>13500</c:v>
                </c:pt>
                <c:pt idx="1">
                  <c:v>5000</c:v>
                </c:pt>
                <c:pt idx="2">
                  <c:v>5500</c:v>
                </c:pt>
                <c:pt idx="3">
                  <c:v>5300</c:v>
                </c:pt>
                <c:pt idx="4">
                  <c:v>39600</c:v>
                </c:pt>
                <c:pt idx="5">
                  <c:v>52100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9E0-4E30-B983-B2D123710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lang="en-CA" b="1">
                <a:solidFill>
                  <a:srgbClr val="757575"/>
                </a:solidFill>
                <a:latin typeface="+mn-lt"/>
              </a:rPr>
              <a:t>2022 Budgeted Expenses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7D879"/>
              </a:solidFill>
            </c:spPr>
            <c:extLst>
              <c:ext xmlns:c16="http://schemas.microsoft.com/office/drawing/2014/chart" uri="{C3380CC4-5D6E-409C-BE32-E72D297353CC}">
                <c16:uniqueId val="{00000001-0AF4-4B16-98B1-35110F7EA907}"/>
              </c:ext>
            </c:extLst>
          </c:dPt>
          <c:dPt>
            <c:idx val="1"/>
            <c:bubble3D val="0"/>
            <c:spPr>
              <a:solidFill>
                <a:srgbClr val="79C7D8"/>
              </a:solidFill>
            </c:spPr>
            <c:extLst>
              <c:ext xmlns:c16="http://schemas.microsoft.com/office/drawing/2014/chart" uri="{C3380CC4-5D6E-409C-BE32-E72D297353CC}">
                <c16:uniqueId val="{00000003-0AF4-4B16-98B1-35110F7EA907}"/>
              </c:ext>
            </c:extLst>
          </c:dPt>
          <c:dPt>
            <c:idx val="2"/>
            <c:bubble3D val="0"/>
            <c:spPr>
              <a:solidFill>
                <a:srgbClr val="D879C7"/>
              </a:solidFill>
            </c:spPr>
            <c:extLst>
              <c:ext xmlns:c16="http://schemas.microsoft.com/office/drawing/2014/chart" uri="{C3380CC4-5D6E-409C-BE32-E72D297353CC}">
                <c16:uniqueId val="{00000005-0AF4-4B16-98B1-35110F7EA907}"/>
              </c:ext>
            </c:extLst>
          </c:dPt>
          <c:dPt>
            <c:idx val="3"/>
            <c:bubble3D val="0"/>
            <c:spPr>
              <a:solidFill>
                <a:srgbClr val="F3F3F3"/>
              </a:solidFill>
            </c:spPr>
            <c:extLst>
              <c:ext xmlns:c16="http://schemas.microsoft.com/office/drawing/2014/chart" uri="{C3380CC4-5D6E-409C-BE32-E72D297353CC}">
                <c16:uniqueId val="{00000007-0AF4-4B16-98B1-35110F7EA90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8-0AF4-4B16-98B1-35110F7EA90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9-0AF4-4B16-98B1-35110F7EA90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A-0AF4-4B16-98B1-35110F7EA90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B-0AF4-4B16-98B1-35110F7EA90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C-0AF4-4B16-98B1-35110F7EA90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0AF4-4B16-98B1-35110F7EA907}"/>
              </c:ext>
            </c:extLst>
          </c:dPt>
          <c:cat>
            <c:strRef>
              <c:f>Summary!$Q$130:$Q$139</c:f>
              <c:strCache>
                <c:ptCount val="10"/>
                <c:pt idx="0">
                  <c:v>PIE</c:v>
                </c:pt>
                <c:pt idx="2">
                  <c:v>EDEN</c:v>
                </c:pt>
                <c:pt idx="8">
                  <c:v>CIPS</c:v>
                </c:pt>
                <c:pt idx="9">
                  <c:v>Other Expenses</c:v>
                </c:pt>
              </c:strCache>
            </c:strRef>
          </c:cat>
          <c:val>
            <c:numRef>
              <c:f>Summary!$R$130:$R$139</c:f>
              <c:numCache>
                <c:formatCode>General</c:formatCode>
                <c:ptCount val="10"/>
                <c:pt idx="0" formatCode="_(&quot;$&quot;* #,##0_);_(&quot;$&quot;* \(#,##0\);_(&quot;$&quot;* &quot;-&quot;??_);_(@_)">
                  <c:v>23000</c:v>
                </c:pt>
                <c:pt idx="2" formatCode="_(&quot;$&quot;* #,##0_);_(&quot;$&quot;* \(#,##0\);_(&quot;$&quot;* &quot;-&quot;??_);_(@_)">
                  <c:v>16300</c:v>
                </c:pt>
                <c:pt idx="8" formatCode="_(&quot;$&quot;* #,##0_);_(&quot;$&quot;* \(#,##0\);_(&quot;$&quot;* &quot;-&quot;??_);_(@_)">
                  <c:v>37000</c:v>
                </c:pt>
                <c:pt idx="9" formatCode="_(&quot;$&quot;* #,##0_);_(&quot;$&quot;* \(#,##0\);_(&quot;$&quot;* &quot;-&quot;??_);_(@_)">
                  <c:v>42600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AF4-4B16-98B1-35110F7EA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CA" b="0">
                <a:solidFill>
                  <a:srgbClr val="757575"/>
                </a:solidFill>
                <a:latin typeface="+mn-lt"/>
              </a:rPr>
              <a:t>Net Revenue and Retained Earnings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[2]Summary!$A$330</c:f>
              <c:strCache>
                <c:ptCount val="1"/>
              </c:strCache>
            </c:strRef>
          </c:tx>
          <c:invertIfNegative val="1"/>
          <c:val>
            <c:numRef>
              <c:f>[2]Summary!$A$331:$A$337</c:f>
            </c:numRef>
          </c:val>
          <c:extLst>
            <c:ext xmlns:c16="http://schemas.microsoft.com/office/drawing/2014/chart" uri="{C3380CC4-5D6E-409C-BE32-E72D297353CC}">
              <c16:uniqueId val="{00000000-D011-46E3-8C4D-43EA4D87A9CC}"/>
            </c:ext>
          </c:extLst>
        </c:ser>
        <c:ser>
          <c:idx val="1"/>
          <c:order val="1"/>
          <c:tx>
            <c:strRef>
              <c:f>[2]Summary!$D$330</c:f>
              <c:strCache>
                <c:ptCount val="1"/>
                <c:pt idx="0">
                  <c:v>Net Revenue</c:v>
                </c:pt>
              </c:strCache>
            </c:strRef>
          </c:tx>
          <c:invertIfNegative val="1"/>
          <c:val>
            <c:numRef>
              <c:f>[2]Summary!$D$331:$D$337</c:f>
            </c:numRef>
          </c:val>
          <c:extLst>
            <c:ext xmlns:c16="http://schemas.microsoft.com/office/drawing/2014/chart" uri="{C3380CC4-5D6E-409C-BE32-E72D297353CC}">
              <c16:uniqueId val="{00000001-D011-46E3-8C4D-43EA4D87A9CC}"/>
            </c:ext>
          </c:extLst>
        </c:ser>
        <c:ser>
          <c:idx val="2"/>
          <c:order val="2"/>
          <c:tx>
            <c:strRef>
              <c:f>[2]Summary!$E$330</c:f>
              <c:strCache>
                <c:ptCount val="1"/>
              </c:strCache>
            </c:strRef>
          </c:tx>
          <c:invertIfNegative val="1"/>
          <c:val>
            <c:numRef>
              <c:f>[2]Summary!$E$331:$E$337</c:f>
            </c:numRef>
          </c:val>
          <c:extLst>
            <c:ext xmlns:c16="http://schemas.microsoft.com/office/drawing/2014/chart" uri="{C3380CC4-5D6E-409C-BE32-E72D297353CC}">
              <c16:uniqueId val="{00000002-D011-46E3-8C4D-43EA4D87A9CC}"/>
            </c:ext>
          </c:extLst>
        </c:ser>
        <c:ser>
          <c:idx val="3"/>
          <c:order val="3"/>
          <c:tx>
            <c:strRef>
              <c:f>[2]Summary!$F$330</c:f>
              <c:strCache>
                <c:ptCount val="1"/>
                <c:pt idx="0">
                  <c:v>Retained Earnings</c:v>
                </c:pt>
              </c:strCache>
            </c:strRef>
          </c:tx>
          <c:invertIfNegative val="1"/>
          <c:val>
            <c:numRef>
              <c:f>[2]Summary!$F$331:$F$337</c:f>
            </c:numRef>
          </c:val>
          <c:extLst>
            <c:ext xmlns:c16="http://schemas.microsoft.com/office/drawing/2014/chart" uri="{C3380CC4-5D6E-409C-BE32-E72D297353CC}">
              <c16:uniqueId val="{00000003-D011-46E3-8C4D-43EA4D87A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65719"/>
        <c:axId val="1690163187"/>
      </c:barChart>
      <c:catAx>
        <c:axId val="1627657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90163187"/>
        <c:crosses val="autoZero"/>
        <c:auto val="1"/>
        <c:lblAlgn val="ctr"/>
        <c:lblOffset val="100"/>
        <c:noMultiLvlLbl val="1"/>
      </c:catAx>
      <c:valAx>
        <c:axId val="1690163187"/>
        <c:scaling>
          <c:orientation val="minMax"/>
        </c:scaling>
        <c:delete val="0"/>
        <c:axPos val="l"/>
        <c:majorTickMark val="cross"/>
        <c:minorTickMark val="cross"/>
        <c:tickLblPos val="nextTo"/>
        <c:spPr>
          <a:ln>
            <a:noFill/>
          </a:ln>
        </c:spPr>
        <c:crossAx val="162765719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CA" b="0">
                <a:solidFill>
                  <a:srgbClr val="757575"/>
                </a:solidFill>
                <a:latin typeface="+mn-lt"/>
              </a:rPr>
              <a:t> M+A+S Expenses vs. D+M Revenue Trend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947251"/>
        <c:axId val="82675678"/>
      </c:lineChart>
      <c:catAx>
        <c:axId val="17419472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2675678"/>
        <c:crosses val="autoZero"/>
        <c:auto val="1"/>
        <c:lblAlgn val="ctr"/>
        <c:lblOffset val="100"/>
        <c:noMultiLvlLbl val="1"/>
      </c:catAx>
      <c:valAx>
        <c:axId val="82675678"/>
        <c:scaling>
          <c:orientation val="minMax"/>
        </c:scaling>
        <c:delete val="0"/>
        <c:axPos val="l"/>
        <c:majorTickMark val="cross"/>
        <c:minorTickMark val="cross"/>
        <c:tickLblPos val="nextTo"/>
        <c:spPr>
          <a:ln>
            <a:noFill/>
          </a:ln>
        </c:spPr>
        <c:crossAx val="174194725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419101</xdr:colOff>
      <xdr:row>0</xdr:row>
      <xdr:rowOff>104775</xdr:rowOff>
    </xdr:from>
    <xdr:to>
      <xdr:col>18</xdr:col>
      <xdr:colOff>291353</xdr:colOff>
      <xdr:row>3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96FB32-42BC-498F-9E2E-5E361555B23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15301" y="104775"/>
          <a:ext cx="767602" cy="56197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200025</xdr:colOff>
      <xdr:row>29</xdr:row>
      <xdr:rowOff>9525</xdr:rowOff>
    </xdr:from>
    <xdr:ext cx="4467225" cy="25812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75EB4786-3CA9-41FD-8A32-A500384BC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16</xdr:col>
      <xdr:colOff>228600</xdr:colOff>
      <xdr:row>68</xdr:row>
      <xdr:rowOff>104775</xdr:rowOff>
    </xdr:from>
    <xdr:ext cx="4457700" cy="258127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36198681-A16C-48EF-AD02-9B84169733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0</xdr:colOff>
      <xdr:row>365</xdr:row>
      <xdr:rowOff>38100</xdr:rowOff>
    </xdr:from>
    <xdr:ext cx="6229350" cy="3838575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858C4158-170E-4F9B-BBA2-252852291F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0</xdr:colOff>
      <xdr:row>384</xdr:row>
      <xdr:rowOff>76200</xdr:rowOff>
    </xdr:from>
    <xdr:ext cx="6229350" cy="353377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25320BF9-6A3B-4035-9582-30D38816F1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6</xdr:col>
      <xdr:colOff>657225</xdr:colOff>
      <xdr:row>17</xdr:row>
      <xdr:rowOff>142875</xdr:rowOff>
    </xdr:from>
    <xdr:ext cx="762000" cy="1724025"/>
    <xdr:pic>
      <xdr:nvPicPr>
        <xdr:cNvPr id="6" name="image1.png" title="Image">
          <a:extLst>
            <a:ext uri="{FF2B5EF4-FFF2-40B4-BE49-F238E27FC236}">
              <a16:creationId xmlns:a16="http://schemas.microsoft.com/office/drawing/2014/main" id="{AA6DF0F5-28B6-476D-BB00-40175CC1674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533775" y="628650"/>
          <a:ext cx="762000" cy="17240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419101</xdr:colOff>
      <xdr:row>0</xdr:row>
      <xdr:rowOff>104775</xdr:rowOff>
    </xdr:from>
    <xdr:to>
      <xdr:col>15</xdr:col>
      <xdr:colOff>291353</xdr:colOff>
      <xdr:row>3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AD64F0-5003-436B-AA00-F4498B63206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725026" y="104775"/>
          <a:ext cx="767602" cy="56197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W%20budget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W%20budget%202022%20V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s"/>
      <sheetName val="GrantProgram Status Lookup"/>
      <sheetName val="Sheet4"/>
      <sheetName val="Sheet5"/>
      <sheetName val="2021 Restated"/>
      <sheetName val="For mark-up"/>
    </sheetNames>
    <sheetDataSet>
      <sheetData sheetId="0">
        <row r="1">
          <cell r="Q1">
            <v>18642</v>
          </cell>
        </row>
        <row r="15">
          <cell r="E15">
            <v>7600</v>
          </cell>
        </row>
        <row r="17">
          <cell r="E17">
            <v>2500</v>
          </cell>
        </row>
        <row r="18">
          <cell r="E18">
            <v>2000</v>
          </cell>
        </row>
        <row r="19">
          <cell r="E19">
            <v>1000</v>
          </cell>
        </row>
        <row r="21">
          <cell r="E21">
            <v>4000</v>
          </cell>
        </row>
        <row r="22">
          <cell r="E22">
            <v>22913</v>
          </cell>
        </row>
        <row r="24">
          <cell r="E24">
            <v>19000</v>
          </cell>
        </row>
        <row r="26">
          <cell r="E26">
            <v>4164</v>
          </cell>
        </row>
        <row r="27">
          <cell r="E27">
            <v>21500</v>
          </cell>
        </row>
      </sheetData>
      <sheetData sheetId="1" refreshError="1"/>
      <sheetData sheetId="2">
        <row r="2">
          <cell r="A2" t="str">
            <v>Pending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s"/>
      <sheetName val="GrantProgram Status Lookup"/>
      <sheetName val="Sheet4"/>
      <sheetName val="CSJ Budgeted"/>
      <sheetName val="CSJ Actuals"/>
      <sheetName val="Sheet5"/>
      <sheetName val="Rides Budget"/>
      <sheetName val="Fall Concert"/>
      <sheetName val="2021 Restated"/>
    </sheetNames>
    <sheetDataSet>
      <sheetData sheetId="0">
        <row r="32">
          <cell r="B32" t="str">
            <v>Donations</v>
          </cell>
          <cell r="F32">
            <v>13500</v>
          </cell>
        </row>
        <row r="35">
          <cell r="B35" t="str">
            <v>Memberships</v>
          </cell>
          <cell r="F35">
            <v>5000</v>
          </cell>
        </row>
        <row r="36">
          <cell r="B36" t="str">
            <v>Sponsorships</v>
          </cell>
          <cell r="F36">
            <v>5500</v>
          </cell>
        </row>
        <row r="39">
          <cell r="B39" t="str">
            <v>Fundraising events</v>
          </cell>
          <cell r="F39">
            <v>5300</v>
          </cell>
        </row>
        <row r="42">
          <cell r="B42" t="str">
            <v>Grants</v>
          </cell>
          <cell r="F42">
            <v>39600</v>
          </cell>
        </row>
        <row r="51">
          <cell r="B51" t="str">
            <v>Social enterprises</v>
          </cell>
          <cell r="F51">
            <v>52100</v>
          </cell>
        </row>
        <row r="56">
          <cell r="B56" t="str">
            <v>In-kind services</v>
          </cell>
          <cell r="F56">
            <v>0</v>
          </cell>
        </row>
        <row r="58">
          <cell r="B58" t="str">
            <v>Other revenue</v>
          </cell>
          <cell r="F58">
            <v>0</v>
          </cell>
        </row>
        <row r="130">
          <cell r="Q130" t="str">
            <v>PIE</v>
          </cell>
          <cell r="R130">
            <v>23000</v>
          </cell>
        </row>
        <row r="132">
          <cell r="Q132" t="str">
            <v>EDEN</v>
          </cell>
          <cell r="R132">
            <v>16300</v>
          </cell>
        </row>
        <row r="138">
          <cell r="Q138" t="str">
            <v>CIPS</v>
          </cell>
          <cell r="R138">
            <v>37000</v>
          </cell>
        </row>
        <row r="139">
          <cell r="Q139" t="str">
            <v>Other Expenses</v>
          </cell>
          <cell r="R139">
            <v>42600</v>
          </cell>
        </row>
        <row r="330">
          <cell r="D330" t="str">
            <v>Net Revenue</v>
          </cell>
          <cell r="F330" t="str">
            <v>Retained Earnings</v>
          </cell>
        </row>
        <row r="331">
          <cell r="A331">
            <v>2015</v>
          </cell>
          <cell r="D331">
            <v>-2624</v>
          </cell>
          <cell r="F331">
            <v>19747</v>
          </cell>
        </row>
        <row r="332">
          <cell r="A332">
            <v>2016</v>
          </cell>
          <cell r="D332">
            <v>-3559</v>
          </cell>
          <cell r="F332">
            <v>16188</v>
          </cell>
        </row>
        <row r="333">
          <cell r="A333">
            <v>2017</v>
          </cell>
          <cell r="D333">
            <v>5256</v>
          </cell>
          <cell r="F333">
            <v>14495</v>
          </cell>
        </row>
        <row r="334">
          <cell r="A334">
            <v>2018</v>
          </cell>
          <cell r="D334">
            <v>1774</v>
          </cell>
          <cell r="F334">
            <v>16269</v>
          </cell>
        </row>
        <row r="335">
          <cell r="A335">
            <v>2019</v>
          </cell>
          <cell r="D335">
            <v>-3541</v>
          </cell>
          <cell r="F335">
            <v>13237</v>
          </cell>
        </row>
        <row r="336">
          <cell r="A336">
            <v>2020</v>
          </cell>
          <cell r="D336">
            <v>-3956</v>
          </cell>
          <cell r="F336">
            <v>4453</v>
          </cell>
        </row>
        <row r="337">
          <cell r="A337">
            <v>2021</v>
          </cell>
          <cell r="D337">
            <v>36336.880000000005</v>
          </cell>
          <cell r="F337">
            <v>42339</v>
          </cell>
        </row>
      </sheetData>
      <sheetData sheetId="1"/>
      <sheetData sheetId="2"/>
      <sheetData sheetId="3"/>
      <sheetData sheetId="4">
        <row r="19">
          <cell r="L19">
            <v>12053.7</v>
          </cell>
          <cell r="N19">
            <v>7680.0999999999995</v>
          </cell>
        </row>
      </sheetData>
      <sheetData sheetId="5"/>
      <sheetData sheetId="6"/>
      <sheetData sheetId="7">
        <row r="22">
          <cell r="X22">
            <v>559.5</v>
          </cell>
        </row>
        <row r="33">
          <cell r="X33">
            <v>90</v>
          </cell>
        </row>
        <row r="38">
          <cell r="D38">
            <v>3900</v>
          </cell>
        </row>
        <row r="74">
          <cell r="D74">
            <v>10187</v>
          </cell>
        </row>
        <row r="77">
          <cell r="D77">
            <v>6862.5</v>
          </cell>
        </row>
      </sheetData>
      <sheetData sheetId="8">
        <row r="22">
          <cell r="F22">
            <v>5250</v>
          </cell>
        </row>
        <row r="47">
          <cell r="F47">
            <v>2355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beconetwork.org/get-involved/become-a-member-2/" TargetMode="External"/><Relationship Id="rId13" Type="http://schemas.openxmlformats.org/officeDocument/2006/relationships/hyperlink" Target="https://alliance2030.ca/about/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drive.google.com/drive/folders/1RzUEB-bc8vtrzvTtQW2NnWBGatBHRQFX?usp=sharing" TargetMode="External"/><Relationship Id="rId21" Type="http://schemas.openxmlformats.org/officeDocument/2006/relationships/comments" Target="../comments2.xml"/><Relationship Id="rId7" Type="http://schemas.openxmlformats.org/officeDocument/2006/relationships/hyperlink" Target="https://v233locanadabikes.wildapricot.org/join-us/" TargetMode="External"/><Relationship Id="rId12" Type="http://schemas.openxmlformats.org/officeDocument/2006/relationships/hyperlink" Target="https://climateactionnetwork.ca/" TargetMode="External"/><Relationship Id="rId17" Type="http://schemas.openxmlformats.org/officeDocument/2006/relationships/hyperlink" Target="https://docs.google.com/spreadsheets/d/1vTzXbCBbPHMUmV9CxSvprF0KHtXjUvDQ-qdiTReBmwA/edit?usp=sharing" TargetMode="External"/><Relationship Id="rId2" Type="http://schemas.openxmlformats.org/officeDocument/2006/relationships/hyperlink" Target="https://www.winnipeg.ca/finance/files/2020PreliminaryCapitalBudget_Volume3.pdf" TargetMode="External"/><Relationship Id="rId16" Type="http://schemas.openxmlformats.org/officeDocument/2006/relationships/hyperlink" Target="https://wintercycling.org/join" TargetMode="External"/><Relationship Id="rId20" Type="http://schemas.openxmlformats.org/officeDocument/2006/relationships/vmlDrawing" Target="../drawings/vmlDrawing2.vml"/><Relationship Id="rId1" Type="http://schemas.openxmlformats.org/officeDocument/2006/relationships/hyperlink" Target="https://www.charityintelligence.ca/media/audit_pdfs/DWD%20F2020%20AFS.pdf" TargetMode="External"/><Relationship Id="rId6" Type="http://schemas.openxmlformats.org/officeDocument/2006/relationships/hyperlink" Target="https://boardsource.org/board-support/membership/board-support-nonprofits/" TargetMode="External"/><Relationship Id="rId11" Type="http://schemas.openxmlformats.org/officeDocument/2006/relationships/hyperlink" Target="https://ccednet-rcdec.ca/en/civicrm/contribute/transact?reset=1&amp;id=2" TargetMode="External"/><Relationship Id="rId5" Type="http://schemas.openxmlformats.org/officeDocument/2006/relationships/hyperlink" Target="https://www2.gov.bc.ca/assets/gov/british-columbians-our-governments/indigenous-people/aboriginal-peoples-documents/calls_to_action_english2.pdf" TargetMode="External"/><Relationship Id="rId15" Type="http://schemas.openxmlformats.org/officeDocument/2006/relationships/hyperlink" Target="https://www.apbp.org/membership1" TargetMode="External"/><Relationship Id="rId10" Type="http://schemas.openxmlformats.org/officeDocument/2006/relationships/hyperlink" Target="https://www.trailsmanitoba.ca/get-involved/membership/" TargetMode="External"/><Relationship Id="rId19" Type="http://schemas.openxmlformats.org/officeDocument/2006/relationships/drawing" Target="../drawings/drawing2.xml"/><Relationship Id="rId4" Type="http://schemas.openxmlformats.org/officeDocument/2006/relationships/hyperlink" Target="https://docs.google.com/document/d/1cHPRjPtOSbx3TJLmBTmyRYeST99vVfzW53-khIs6eUk/edit?usp=sharing" TargetMode="External"/><Relationship Id="rId9" Type="http://schemas.openxmlformats.org/officeDocument/2006/relationships/hyperlink" Target="https://greenactioncentre.ca/support/become-a-member/" TargetMode="External"/><Relationship Id="rId14" Type="http://schemas.openxmlformats.org/officeDocument/2006/relationships/hyperlink" Target="https://www.ite.org/membership/become-a-member/due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docs.google.com/spreadsheets/d/1NerQubqNkp-Qsdq1zYlOpTWlqQhO4mGwpXwgXtAWsFw/edit?usp=sharing" TargetMode="External"/><Relationship Id="rId18" Type="http://schemas.openxmlformats.org/officeDocument/2006/relationships/hyperlink" Target="https://docs.google.com/spreadsheets/d/1Kb1zxBSv5RGNAh8nKS5rknPZsMgPS1-KoDhBoCZldjo/edit?usp=sharing" TargetMode="External"/><Relationship Id="rId26" Type="http://schemas.openxmlformats.org/officeDocument/2006/relationships/hyperlink" Target="https://charityvillage.com/learning-centre/courses/management-leadership-bundle/" TargetMode="External"/><Relationship Id="rId39" Type="http://schemas.openxmlformats.org/officeDocument/2006/relationships/hyperlink" Target="https://www.canada.ca/en/revenue-agency/services/charities-giving/charities/policies-guidance/fundraising-registered-charities-guidance.html" TargetMode="External"/><Relationship Id="rId21" Type="http://schemas.openxmlformats.org/officeDocument/2006/relationships/hyperlink" Target="https://docs.google.com/spreadsheets/d/1NerQubqNkp-Qsdq1zYlOpTWlqQhO4mGwpXwgXtAWsFw/edit?usp=sharing" TargetMode="External"/><Relationship Id="rId34" Type="http://schemas.openxmlformats.org/officeDocument/2006/relationships/hyperlink" Target="https://alliance2030.ca/about/" TargetMode="External"/><Relationship Id="rId42" Type="http://schemas.openxmlformats.org/officeDocument/2006/relationships/hyperlink" Target="https://docs.google.com/spreadsheets/d/1Kb1zxBSv5RGNAh8nKS5rknPZsMgPS1-KoDhBoCZldjo/edit?usp=sharing" TargetMode="External"/><Relationship Id="rId47" Type="http://schemas.openxmlformats.org/officeDocument/2006/relationships/hyperlink" Target="https://docs.google.com/spreadsheets/d/1vTzXbCBbPHMUmV9CxSvprF0KHtXjUvDQ-qdiTReBmwA/edit?usp=sharing" TargetMode="External"/><Relationship Id="rId50" Type="http://schemas.openxmlformats.org/officeDocument/2006/relationships/hyperlink" Target="https://docs.google.com/document/d/1cHPRjPtOSbx3TJLmBTmyRYeST99vVfzW53-khIs6eUk/edit?usp=sharing" TargetMode="External"/><Relationship Id="rId55" Type="http://schemas.openxmlformats.org/officeDocument/2006/relationships/hyperlink" Target="https://docs.google.com/document/d/1cHPRjPtOSbx3TJLmBTmyRYeST99vVfzW53-khIs6eUk/edit?usp=sharing" TargetMode="External"/><Relationship Id="rId7" Type="http://schemas.openxmlformats.org/officeDocument/2006/relationships/hyperlink" Target="https://docs.google.com/spreadsheets/d/1J22pMf8y_QAz-cV_rRPmMnFlsBe6FyFIyZhLd2yW4Dw/edit?usp=sharing" TargetMode="External"/><Relationship Id="rId2" Type="http://schemas.openxmlformats.org/officeDocument/2006/relationships/hyperlink" Target="https://docs.google.com/spreadsheets/d/14exaw-_L77XIVUYDlQpAw_Q96O0omfr9mk_3ddQ_PNw/edit?usp=sharing" TargetMode="External"/><Relationship Id="rId16" Type="http://schemas.openxmlformats.org/officeDocument/2006/relationships/hyperlink" Target="https://www.canada.ca/en/employment-social-development/services/funding/canada-summer-jobs.html" TargetMode="External"/><Relationship Id="rId29" Type="http://schemas.openxmlformats.org/officeDocument/2006/relationships/hyperlink" Target="https://mbeconetwork.org/get-involved/become-a-member-2/" TargetMode="External"/><Relationship Id="rId11" Type="http://schemas.openxmlformats.org/officeDocument/2006/relationships/hyperlink" Target="http://v/" TargetMode="External"/><Relationship Id="rId24" Type="http://schemas.openxmlformats.org/officeDocument/2006/relationships/hyperlink" Target="https://docs.google.com/document/d/1cHPRjPtOSbx3TJLmBTmyRYeST99vVfzW53-khIs6eUk/edit?usp=sharing" TargetMode="External"/><Relationship Id="rId32" Type="http://schemas.openxmlformats.org/officeDocument/2006/relationships/hyperlink" Target="https://ccednet-rcdec.ca/en/civicrm/contribute/transact?reset=1&amp;id=2" TargetMode="External"/><Relationship Id="rId37" Type="http://schemas.openxmlformats.org/officeDocument/2006/relationships/hyperlink" Target="https://wintercycling.org/join" TargetMode="External"/><Relationship Id="rId40" Type="http://schemas.openxmlformats.org/officeDocument/2006/relationships/hyperlink" Target="https://docs.google.com/spreadsheets/d/1zM7eQ9R7WGL7106Ha5Wg29zoIMeXAobIfeb-sSyXGPU/edit?usp=sharing" TargetMode="External"/><Relationship Id="rId45" Type="http://schemas.openxmlformats.org/officeDocument/2006/relationships/hyperlink" Target="https://docs.google.com/document/d/1cHPRjPtOSbx3TJLmBTmyRYeST99vVfzW53-khIs6eUk/edit?usp=sharing" TargetMode="External"/><Relationship Id="rId53" Type="http://schemas.openxmlformats.org/officeDocument/2006/relationships/hyperlink" Target="https://charityvillage.com/learning-centre/courses/special-events-bundle/" TargetMode="External"/><Relationship Id="rId58" Type="http://schemas.openxmlformats.org/officeDocument/2006/relationships/hyperlink" Target="https://www.cfoselections.com/perspective/in-kind-donations-accounting-and-reporting-for-nonprofits" TargetMode="External"/><Relationship Id="rId5" Type="http://schemas.openxmlformats.org/officeDocument/2006/relationships/hyperlink" Target="https://docs.google.com/spreadsheets/d/1uM68lfVXBXnL14jWPPQdZxwf5lCyj4kAPY1-_t2FIeg/edit?usp=sharing" TargetMode="External"/><Relationship Id="rId19" Type="http://schemas.openxmlformats.org/officeDocument/2006/relationships/hyperlink" Target="https://docs.google.com/spreadsheets/d/1jLjbmAll0VsJh3VuSNxPpxyQmYIR4SIRmqdcxV4d0Wo/edit?usp=sharing" TargetMode="External"/><Relationship Id="rId4" Type="http://schemas.openxmlformats.org/officeDocument/2006/relationships/hyperlink" Target="https://www.canada.ca/en/revenue-agency/services/charities-giving/charities/policies-guidance/fundraising-registered-charities-guidance.html" TargetMode="External"/><Relationship Id="rId9" Type="http://schemas.openxmlformats.org/officeDocument/2006/relationships/hyperlink" Target="https://docs.google.com/spreadsheets/d/1uM68lfVXBXnL14jWPPQdZxwf5lCyj4kAPY1-_t2FIeg/edit?usp=sharing" TargetMode="External"/><Relationship Id="rId14" Type="http://schemas.openxmlformats.org/officeDocument/2006/relationships/hyperlink" Target="https://docs.google.com/spreadsheets/d/1NerQubqNkp-Qsdq1zYlOpTWlqQhO4mGwpXwgXtAWsFw/edit?usp=sharing" TargetMode="External"/><Relationship Id="rId22" Type="http://schemas.openxmlformats.org/officeDocument/2006/relationships/hyperlink" Target="https://docs.google.com/spreadsheets/d/1vTzXbCBbPHMUmV9CxSvprF0KHtXjUvDQ-qdiTReBmwA/edit?usp=sharing" TargetMode="External"/><Relationship Id="rId27" Type="http://schemas.openxmlformats.org/officeDocument/2006/relationships/hyperlink" Target="https://charityvillage.com/learning-centre/courses/management-leadership-bundle/" TargetMode="External"/><Relationship Id="rId30" Type="http://schemas.openxmlformats.org/officeDocument/2006/relationships/hyperlink" Target="https://greenactioncentre.ca/support/become-a-member/" TargetMode="External"/><Relationship Id="rId35" Type="http://schemas.openxmlformats.org/officeDocument/2006/relationships/hyperlink" Target="https://www.ite.org/membership/become-a-member/dues/" TargetMode="External"/><Relationship Id="rId43" Type="http://schemas.openxmlformats.org/officeDocument/2006/relationships/hyperlink" Target="https://charityvillage.com/learning-centre/courses/fundraising-bundle/" TargetMode="External"/><Relationship Id="rId48" Type="http://schemas.openxmlformats.org/officeDocument/2006/relationships/hyperlink" Target="https://docs.google.com/spreadsheets/d/1NerQubqNkp-Qsdq1zYlOpTWlqQhO4mGwpXwgXtAWsFw/edit?usp=sharing" TargetMode="External"/><Relationship Id="rId56" Type="http://schemas.openxmlformats.org/officeDocument/2006/relationships/hyperlink" Target="https://docs.google.com/spreadsheets/d/1vTzXbCBbPHMUmV9CxSvprF0KHtXjUvDQ-qdiTReBmwA/edit?usp=sharing" TargetMode="External"/><Relationship Id="rId8" Type="http://schemas.openxmlformats.org/officeDocument/2006/relationships/hyperlink" Target="https://drive.google.com/drive/folders/1VptGX3Im4MoGdF_gpPx7cmvaZ7gt_a3t?usp=sharing" TargetMode="External"/><Relationship Id="rId51" Type="http://schemas.openxmlformats.org/officeDocument/2006/relationships/hyperlink" Target="https://docs.google.com/document/d/1cHPRjPtOSbx3TJLmBTmyRYeST99vVfzW53-khIs6eUk/edit?usp=sharing" TargetMode="External"/><Relationship Id="rId3" Type="http://schemas.openxmlformats.org/officeDocument/2006/relationships/hyperlink" Target="https://drive.google.com/file/d/1z9zB4I3IUJYBDWYJWK-e42Gqm2ktGwa5/view?usp=sharing" TargetMode="External"/><Relationship Id="rId12" Type="http://schemas.openxmlformats.org/officeDocument/2006/relationships/hyperlink" Target="https://docs.google.com/spreadsheets/d/1NerQubqNkp-Qsdq1zYlOpTWlqQhO4mGwpXwgXtAWsFw/edit?usp=sharing" TargetMode="External"/><Relationship Id="rId17" Type="http://schemas.openxmlformats.org/officeDocument/2006/relationships/hyperlink" Target="https://docs.google.com/spreadsheets/d/1NerQubqNkp-Qsdq1zYlOpTWlqQhO4mGwpXwgXtAWsFw/edit?usp=sharing" TargetMode="External"/><Relationship Id="rId25" Type="http://schemas.openxmlformats.org/officeDocument/2006/relationships/hyperlink" Target="https://docs.google.com/spreadsheets/d/1vTzXbCBbPHMUmV9CxSvprF0KHtXjUvDQ-qdiTReBmwA/edit?usp=sharing" TargetMode="External"/><Relationship Id="rId33" Type="http://schemas.openxmlformats.org/officeDocument/2006/relationships/hyperlink" Target="https://climateactionnetwork.ca/" TargetMode="External"/><Relationship Id="rId38" Type="http://schemas.openxmlformats.org/officeDocument/2006/relationships/hyperlink" Target="https://drive.google.com/drive/folders/1RzUEB-bc8vtrzvTtQW2NnWBGatBHRQFX?usp=sharing" TargetMode="External"/><Relationship Id="rId46" Type="http://schemas.openxmlformats.org/officeDocument/2006/relationships/hyperlink" Target="https://docs.google.com/document/d/1cHPRjPtOSbx3TJLmBTmyRYeST99vVfzW53-khIs6eUk/edit?usp=sharing" TargetMode="External"/><Relationship Id="rId59" Type="http://schemas.openxmlformats.org/officeDocument/2006/relationships/printerSettings" Target="../printerSettings/printerSettings4.bin"/><Relationship Id="rId20" Type="http://schemas.openxmlformats.org/officeDocument/2006/relationships/hyperlink" Target="https://docs.google.com/spreadsheets/d/1jLjbmAll0VsJh3VuSNxPpxyQmYIR4SIRmqdcxV4d0Wo/edit?usp=sharing" TargetMode="External"/><Relationship Id="rId41" Type="http://schemas.openxmlformats.org/officeDocument/2006/relationships/hyperlink" Target="https://docs.google.com/spreadsheets/d/1jLjbmAll0VsJh3VuSNxPpxyQmYIR4SIRmqdcxV4d0Wo/edit?usp=sharing" TargetMode="External"/><Relationship Id="rId54" Type="http://schemas.openxmlformats.org/officeDocument/2006/relationships/hyperlink" Target="https://charityvillage.com/learning-centre/courses/special-events-bundle/" TargetMode="External"/><Relationship Id="rId1" Type="http://schemas.openxmlformats.org/officeDocument/2006/relationships/hyperlink" Target="https://docs.google.com/document/d/1Rqkl4KS6Sb3DDtcJF4EuavtIzc8es0gBeqqGYyGWdz0/edit?usp=sharing" TargetMode="External"/><Relationship Id="rId6" Type="http://schemas.openxmlformats.org/officeDocument/2006/relationships/hyperlink" Target="https://docs.google.com/spreadsheets/d/1f4lkSAWekEgmkv1SsRArQz2DD_GaIl2HElo-5hedvsY/edit?usp=sharing" TargetMode="External"/><Relationship Id="rId15" Type="http://schemas.openxmlformats.org/officeDocument/2006/relationships/hyperlink" Target="https://docs.google.com/spreadsheets/d/1vTzXbCBbPHMUmV9CxSvprF0KHtXjUvDQ-qdiTReBmwA/edit?usp=sharing" TargetMode="External"/><Relationship Id="rId23" Type="http://schemas.openxmlformats.org/officeDocument/2006/relationships/hyperlink" Target="https://boardsource.org/board-support/membership/board-support-nonprofits/" TargetMode="External"/><Relationship Id="rId28" Type="http://schemas.openxmlformats.org/officeDocument/2006/relationships/hyperlink" Target="https://v233locanadabikes.wildapricot.org/join-us/" TargetMode="External"/><Relationship Id="rId36" Type="http://schemas.openxmlformats.org/officeDocument/2006/relationships/hyperlink" Target="https://www.apbp.org/membership1" TargetMode="External"/><Relationship Id="rId49" Type="http://schemas.openxmlformats.org/officeDocument/2006/relationships/hyperlink" Target="https://docs.google.com/document/d/1cHPRjPtOSbx3TJLmBTmyRYeST99vVfzW53-khIs6eUk/edit?usp=sharing" TargetMode="External"/><Relationship Id="rId57" Type="http://schemas.openxmlformats.org/officeDocument/2006/relationships/hyperlink" Target="https://drive.google.com/file/d/1lBmNg5Ddc0AvDZWeSsfLHnwLfW7cw4dP/view?usp=sharing" TargetMode="External"/><Relationship Id="rId10" Type="http://schemas.openxmlformats.org/officeDocument/2006/relationships/hyperlink" Target="https://docs.google.com/spreadsheets/d/1NerQubqNkp-Qsdq1zYlOpTWlqQhO4mGwpXwgXtAWsFw/edit?usp=sharing" TargetMode="External"/><Relationship Id="rId31" Type="http://schemas.openxmlformats.org/officeDocument/2006/relationships/hyperlink" Target="https://www.trailsmanitoba.ca/get-involved/membership/" TargetMode="External"/><Relationship Id="rId44" Type="http://schemas.openxmlformats.org/officeDocument/2006/relationships/hyperlink" Target="https://charityvillage.com/learning-centre/courses/fundraising-bundle/" TargetMode="External"/><Relationship Id="rId52" Type="http://schemas.openxmlformats.org/officeDocument/2006/relationships/hyperlink" Target="https://docs.google.com/document/d/1cHPRjPtOSbx3TJLmBTmyRYeST99vVfzW53-khIs6eUk/edit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79312-1DBF-45B5-A0A7-60F3885A2FAE}">
  <sheetPr>
    <tabColor rgb="FF00B050"/>
    <pageSetUpPr fitToPage="1"/>
  </sheetPr>
  <dimension ref="A1:W121"/>
  <sheetViews>
    <sheetView zoomScale="130" zoomScaleNormal="130" workbookViewId="0">
      <pane ySplit="7" topLeftCell="A20" activePane="bottomLeft" state="frozen"/>
      <selection pane="bottomLeft" activeCell="I28" sqref="I28"/>
    </sheetView>
  </sheetViews>
  <sheetFormatPr defaultRowHeight="15" x14ac:dyDescent="0.25"/>
  <cols>
    <col min="1" max="1" width="5.5703125" style="30" customWidth="1"/>
    <col min="2" max="2" width="3.85546875" style="30" customWidth="1"/>
    <col min="3" max="3" width="10.28515625" style="30" bestFit="1" customWidth="1"/>
    <col min="4" max="4" width="23.28515625" style="30" customWidth="1"/>
    <col min="5" max="5" width="10.7109375" style="271" bestFit="1" customWidth="1"/>
    <col min="6" max="6" width="10.5703125" style="271" customWidth="1"/>
    <col min="7" max="7" width="2.85546875" style="31" customWidth="1"/>
    <col min="8" max="8" width="10.7109375" style="41" bestFit="1" customWidth="1"/>
    <col min="9" max="9" width="10.5703125" style="31" customWidth="1"/>
    <col min="10" max="10" width="2.85546875" style="31" customWidth="1"/>
    <col min="11" max="12" width="10.5703125" style="31" customWidth="1"/>
    <col min="13" max="13" width="2.85546875" style="31" customWidth="1"/>
    <col min="14" max="14" width="10.7109375" style="32" customWidth="1"/>
    <col min="15" max="15" width="2.85546875" style="31" customWidth="1"/>
    <col min="16" max="16" width="10.7109375" style="41" bestFit="1" customWidth="1"/>
    <col min="17" max="17" width="10.5703125" style="31" customWidth="1"/>
    <col min="18" max="18" width="2.85546875" style="31" customWidth="1"/>
    <col min="19" max="19" width="11.28515625" style="32" bestFit="1" customWidth="1"/>
    <col min="20" max="20" width="9.140625" style="30"/>
    <col min="21" max="21" width="11.140625" style="33" bestFit="1" customWidth="1"/>
    <col min="22" max="23" width="10.5703125" style="33" bestFit="1" customWidth="1"/>
    <col min="24" max="24" width="9.140625" style="30"/>
    <col min="25" max="25" width="11.140625" style="30" bestFit="1" customWidth="1"/>
    <col min="26" max="16384" width="9.140625" style="30"/>
  </cols>
  <sheetData>
    <row r="1" spans="1:23" s="1" customFormat="1" x14ac:dyDescent="0.25">
      <c r="A1" s="48" t="s">
        <v>51</v>
      </c>
      <c r="B1" s="48"/>
      <c r="C1" s="48"/>
      <c r="D1" s="49"/>
      <c r="E1" s="269"/>
      <c r="F1" s="269"/>
      <c r="G1" s="48"/>
      <c r="H1" s="51"/>
      <c r="I1" s="48"/>
      <c r="J1" s="48"/>
      <c r="K1" s="48"/>
      <c r="L1" s="48"/>
      <c r="M1" s="48"/>
      <c r="N1" s="50"/>
      <c r="O1" s="48"/>
      <c r="P1" s="51"/>
      <c r="Q1" s="48"/>
      <c r="R1" s="48"/>
      <c r="S1" s="50"/>
      <c r="U1" s="2"/>
      <c r="V1" s="2"/>
      <c r="W1" s="2"/>
    </row>
    <row r="2" spans="1:23" s="1" customFormat="1" x14ac:dyDescent="0.25">
      <c r="A2" s="48" t="s">
        <v>78</v>
      </c>
      <c r="B2" s="48"/>
      <c r="C2" s="48"/>
      <c r="D2" s="49"/>
      <c r="E2" s="269"/>
      <c r="F2" s="269"/>
      <c r="G2" s="48"/>
      <c r="H2" s="51"/>
      <c r="I2" s="48"/>
      <c r="J2" s="48"/>
      <c r="K2" s="48"/>
      <c r="L2" s="48"/>
      <c r="M2" s="48"/>
      <c r="N2" s="48"/>
      <c r="O2" s="48"/>
      <c r="P2" s="51"/>
      <c r="Q2" s="48"/>
      <c r="R2" s="48"/>
      <c r="S2" s="48"/>
      <c r="U2" s="2"/>
      <c r="V2" s="2"/>
      <c r="W2" s="2"/>
    </row>
    <row r="3" spans="1:23" s="1" customFormat="1" x14ac:dyDescent="0.25">
      <c r="A3" s="48">
        <v>2022</v>
      </c>
      <c r="B3" s="48"/>
      <c r="C3" s="48"/>
      <c r="D3" s="49"/>
      <c r="E3" s="269"/>
      <c r="F3" s="269"/>
      <c r="G3" s="48"/>
      <c r="H3" s="51"/>
      <c r="I3" s="48"/>
      <c r="J3" s="48"/>
      <c r="K3" s="48"/>
      <c r="L3" s="48"/>
      <c r="M3" s="48"/>
      <c r="N3" s="50"/>
      <c r="O3" s="48"/>
      <c r="P3" s="51"/>
      <c r="Q3" s="48"/>
      <c r="R3" s="48"/>
      <c r="S3" s="50"/>
      <c r="U3" s="2"/>
      <c r="V3" s="2"/>
      <c r="W3" s="2"/>
    </row>
    <row r="4" spans="1:23" s="1" customFormat="1" ht="15.75" thickBot="1" x14ac:dyDescent="0.3">
      <c r="A4" s="52"/>
      <c r="B4" s="52"/>
      <c r="C4" s="52"/>
      <c r="D4" s="53"/>
      <c r="E4" s="270"/>
      <c r="F4" s="270"/>
      <c r="G4" s="52"/>
      <c r="H4" s="55"/>
      <c r="I4" s="52"/>
      <c r="J4" s="52"/>
      <c r="K4" s="52"/>
      <c r="L4" s="52"/>
      <c r="M4" s="52"/>
      <c r="N4" s="54"/>
      <c r="O4" s="52"/>
      <c r="P4" s="55"/>
      <c r="Q4" s="52"/>
      <c r="R4" s="52"/>
      <c r="S4" s="54"/>
      <c r="U4" s="7"/>
      <c r="V4" s="2"/>
      <c r="W4" s="2"/>
    </row>
    <row r="6" spans="1:23" x14ac:dyDescent="0.25">
      <c r="K6" s="166"/>
      <c r="L6" s="166"/>
      <c r="N6" s="57" t="s">
        <v>2</v>
      </c>
      <c r="S6" s="57" t="s">
        <v>2</v>
      </c>
    </row>
    <row r="7" spans="1:23" s="1" customFormat="1" ht="15" customHeight="1" x14ac:dyDescent="0.25">
      <c r="E7" s="272" t="s">
        <v>241</v>
      </c>
      <c r="F7" s="273"/>
      <c r="G7" s="69"/>
      <c r="H7" s="165" t="s">
        <v>240</v>
      </c>
      <c r="I7" s="166"/>
      <c r="J7" s="69"/>
      <c r="K7" s="165" t="s">
        <v>54</v>
      </c>
      <c r="L7" s="166"/>
      <c r="M7" s="69"/>
      <c r="N7" s="56" t="s">
        <v>476</v>
      </c>
      <c r="O7" s="69"/>
      <c r="P7" s="165" t="s">
        <v>77</v>
      </c>
      <c r="Q7" s="166"/>
      <c r="R7" s="69"/>
      <c r="S7" s="56" t="s">
        <v>476</v>
      </c>
      <c r="T7" s="35"/>
      <c r="U7" s="2"/>
      <c r="V7" s="2"/>
      <c r="W7" s="2"/>
    </row>
    <row r="9" spans="1:23" s="4" customFormat="1" x14ac:dyDescent="0.25">
      <c r="A9" s="4" t="s">
        <v>0</v>
      </c>
      <c r="E9" s="274"/>
      <c r="F9" s="274"/>
      <c r="G9" s="5"/>
      <c r="H9" s="36"/>
      <c r="I9" s="5"/>
      <c r="J9" s="5"/>
      <c r="K9" s="5"/>
      <c r="L9" s="5"/>
      <c r="M9" s="5"/>
      <c r="N9" s="6"/>
      <c r="O9" s="5"/>
      <c r="P9" s="36"/>
      <c r="Q9" s="5"/>
      <c r="R9" s="5"/>
      <c r="S9" s="6"/>
      <c r="V9" s="7"/>
      <c r="W9" s="7"/>
    </row>
    <row r="10" spans="1:23" s="8" customFormat="1" x14ac:dyDescent="0.25">
      <c r="B10" s="8" t="s">
        <v>242</v>
      </c>
      <c r="E10" s="275">
        <v>13500</v>
      </c>
      <c r="F10" s="276"/>
      <c r="G10" s="10"/>
      <c r="H10" s="9">
        <v>6000</v>
      </c>
      <c r="I10" s="10"/>
      <c r="J10" s="10"/>
      <c r="K10" s="9">
        <v>6000</v>
      </c>
      <c r="L10" s="10"/>
      <c r="M10" s="10"/>
      <c r="N10" s="59">
        <f>+E10-K10</f>
        <v>7500</v>
      </c>
      <c r="O10" s="10"/>
      <c r="P10" s="42">
        <f>15725.1</f>
        <v>15725.1</v>
      </c>
      <c r="Q10" s="10"/>
      <c r="R10" s="10"/>
      <c r="S10" s="59">
        <f>+E10-P10</f>
        <v>-2225.1000000000004</v>
      </c>
      <c r="U10" s="12"/>
      <c r="V10" s="12"/>
      <c r="W10" s="12"/>
    </row>
    <row r="11" spans="1:23" s="8" customFormat="1" x14ac:dyDescent="0.25">
      <c r="B11" s="8" t="s">
        <v>175</v>
      </c>
      <c r="E11" s="277">
        <v>5000</v>
      </c>
      <c r="F11" s="276"/>
      <c r="G11" s="10"/>
      <c r="H11" s="10">
        <v>6000</v>
      </c>
      <c r="I11" s="10"/>
      <c r="J11" s="10"/>
      <c r="K11" s="10">
        <v>6000</v>
      </c>
      <c r="L11" s="10"/>
      <c r="M11" s="10"/>
      <c r="N11" s="59">
        <f>+E11-K11</f>
        <v>-1000</v>
      </c>
      <c r="O11" s="10"/>
      <c r="P11" s="62">
        <f>2520-800</f>
        <v>1720</v>
      </c>
      <c r="Q11" s="10"/>
      <c r="R11" s="10"/>
      <c r="S11" s="59">
        <f t="shared" ref="S11:S14" si="0">+E11-P11</f>
        <v>3280</v>
      </c>
      <c r="U11" s="12"/>
      <c r="V11" s="12"/>
      <c r="W11" s="12"/>
    </row>
    <row r="12" spans="1:23" s="8" customFormat="1" x14ac:dyDescent="0.25">
      <c r="B12" s="8" t="s">
        <v>1</v>
      </c>
      <c r="E12" s="276">
        <v>5500</v>
      </c>
      <c r="F12" s="276"/>
      <c r="G12" s="10"/>
      <c r="H12" s="10">
        <v>6000</v>
      </c>
      <c r="I12" s="10"/>
      <c r="J12" s="10"/>
      <c r="K12" s="10">
        <v>6000</v>
      </c>
      <c r="L12" s="10"/>
      <c r="M12" s="10"/>
      <c r="N12" s="60">
        <f>+E12-K12</f>
        <v>-500</v>
      </c>
      <c r="O12" s="10"/>
      <c r="P12" s="37">
        <v>750</v>
      </c>
      <c r="Q12" s="10"/>
      <c r="R12" s="10"/>
      <c r="S12" s="59">
        <f t="shared" si="0"/>
        <v>4750</v>
      </c>
      <c r="U12" s="12"/>
      <c r="V12" s="12"/>
      <c r="W12" s="12"/>
    </row>
    <row r="13" spans="1:23" s="8" customFormat="1" x14ac:dyDescent="0.25">
      <c r="B13" s="8" t="s">
        <v>11</v>
      </c>
      <c r="E13" s="278">
        <v>0</v>
      </c>
      <c r="F13" s="276"/>
      <c r="G13" s="10"/>
      <c r="H13" s="34">
        <v>0</v>
      </c>
      <c r="I13" s="10"/>
      <c r="J13" s="10"/>
      <c r="K13" s="34">
        <v>0</v>
      </c>
      <c r="L13" s="10"/>
      <c r="M13" s="10"/>
      <c r="N13" s="64">
        <f>+E13+K13</f>
        <v>0</v>
      </c>
      <c r="O13" s="10"/>
      <c r="P13" s="38">
        <v>19.079999999999998</v>
      </c>
      <c r="Q13" s="10"/>
      <c r="R13" s="10"/>
      <c r="S13" s="59">
        <f t="shared" si="0"/>
        <v>-19.079999999999998</v>
      </c>
      <c r="U13" s="12"/>
      <c r="V13" s="12"/>
      <c r="W13" s="12"/>
    </row>
    <row r="14" spans="1:23" s="8" customFormat="1" x14ac:dyDescent="0.25">
      <c r="B14" s="8" t="s">
        <v>71</v>
      </c>
      <c r="E14" s="279">
        <v>0</v>
      </c>
      <c r="F14" s="276"/>
      <c r="G14" s="10"/>
      <c r="H14" s="13">
        <v>0</v>
      </c>
      <c r="I14" s="10"/>
      <c r="J14" s="10"/>
      <c r="K14" s="13">
        <v>0</v>
      </c>
      <c r="L14" s="10"/>
      <c r="M14" s="10"/>
      <c r="N14" s="61">
        <f>+E14+K14</f>
        <v>0</v>
      </c>
      <c r="O14" s="10"/>
      <c r="P14" s="13">
        <f>11678.94+800</f>
        <v>12478.94</v>
      </c>
      <c r="Q14" s="10"/>
      <c r="R14" s="10"/>
      <c r="S14" s="268">
        <f t="shared" si="0"/>
        <v>-12478.94</v>
      </c>
      <c r="U14" s="12"/>
      <c r="V14" s="12"/>
      <c r="W14" s="12"/>
    </row>
    <row r="15" spans="1:23" s="8" customFormat="1" x14ac:dyDescent="0.25">
      <c r="E15" s="276"/>
      <c r="F15" s="276"/>
      <c r="G15" s="10"/>
      <c r="H15" s="37"/>
      <c r="I15" s="10"/>
      <c r="J15" s="10"/>
      <c r="K15" s="10"/>
      <c r="L15" s="10"/>
      <c r="M15" s="10"/>
      <c r="N15" s="11"/>
      <c r="O15" s="10"/>
      <c r="P15" s="37"/>
      <c r="Q15" s="10"/>
      <c r="R15" s="10"/>
      <c r="S15" s="11"/>
      <c r="U15" s="12"/>
      <c r="V15" s="12"/>
      <c r="W15" s="12"/>
    </row>
    <row r="16" spans="1:23" s="4" customFormat="1" x14ac:dyDescent="0.25">
      <c r="A16" s="4" t="s">
        <v>3</v>
      </c>
      <c r="E16" s="274"/>
      <c r="F16" s="280">
        <f>SUM(E10:E15)</f>
        <v>24000</v>
      </c>
      <c r="G16" s="15"/>
      <c r="H16" s="36"/>
      <c r="I16" s="15">
        <f>SUM(H10:H15)</f>
        <v>18000</v>
      </c>
      <c r="J16" s="15"/>
      <c r="K16" s="15"/>
      <c r="L16" s="15">
        <f>SUM(K10:K15)</f>
        <v>18000</v>
      </c>
      <c r="M16" s="15"/>
      <c r="N16" s="16">
        <f>+I16-L16</f>
        <v>0</v>
      </c>
      <c r="O16" s="15"/>
      <c r="P16" s="36"/>
      <c r="Q16" s="15">
        <f>SUM(P10:P15)</f>
        <v>30693.120000000003</v>
      </c>
      <c r="R16" s="15"/>
      <c r="S16" s="16">
        <f>+I16-Q16</f>
        <v>-12693.120000000003</v>
      </c>
      <c r="U16" s="7"/>
      <c r="V16" s="7"/>
      <c r="W16" s="7"/>
    </row>
    <row r="17" spans="1:23" s="8" customFormat="1" x14ac:dyDescent="0.25">
      <c r="E17" s="276"/>
      <c r="F17" s="276"/>
      <c r="G17" s="10"/>
      <c r="H17" s="37"/>
      <c r="I17" s="10"/>
      <c r="J17" s="10"/>
      <c r="K17" s="10"/>
      <c r="L17" s="10"/>
      <c r="M17" s="10"/>
      <c r="N17" s="11"/>
      <c r="O17" s="10"/>
      <c r="P17" s="37"/>
      <c r="Q17" s="10"/>
      <c r="R17" s="10"/>
      <c r="S17" s="11"/>
      <c r="U17" s="12"/>
      <c r="V17" s="12"/>
      <c r="W17" s="12"/>
    </row>
    <row r="18" spans="1:23" s="4" customFormat="1" x14ac:dyDescent="0.25">
      <c r="A18" s="4" t="s">
        <v>4</v>
      </c>
      <c r="E18" s="274"/>
      <c r="F18" s="274"/>
      <c r="G18" s="5"/>
      <c r="H18" s="36"/>
      <c r="I18" s="5"/>
      <c r="J18" s="5"/>
      <c r="K18" s="5"/>
      <c r="L18" s="5"/>
      <c r="M18" s="5"/>
      <c r="N18" s="43"/>
      <c r="O18" s="5"/>
      <c r="P18" s="36"/>
      <c r="Q18" s="5"/>
      <c r="R18" s="5"/>
      <c r="S18" s="6"/>
      <c r="U18" s="7"/>
      <c r="V18" s="7"/>
      <c r="W18" s="7"/>
    </row>
    <row r="19" spans="1:23" s="8" customFormat="1" x14ac:dyDescent="0.25">
      <c r="B19" s="8" t="s">
        <v>18</v>
      </c>
      <c r="E19" s="276">
        <v>6667</v>
      </c>
      <c r="F19" s="276"/>
      <c r="G19" s="10"/>
      <c r="H19" s="37">
        <v>1200</v>
      </c>
      <c r="I19" s="10"/>
      <c r="J19" s="10"/>
      <c r="K19" s="10">
        <v>0</v>
      </c>
      <c r="L19" s="10"/>
      <c r="M19" s="10"/>
      <c r="N19" s="44">
        <f>+K19-E19</f>
        <v>-6667</v>
      </c>
      <c r="O19" s="10"/>
      <c r="P19" s="37">
        <v>0</v>
      </c>
      <c r="Q19" s="10"/>
      <c r="R19" s="10"/>
      <c r="S19" s="44">
        <f>-E19+P19</f>
        <v>-6667</v>
      </c>
      <c r="T19" s="35"/>
      <c r="U19" s="12"/>
      <c r="V19" s="12"/>
      <c r="W19" s="12"/>
    </row>
    <row r="20" spans="1:23" s="8" customFormat="1" x14ac:dyDescent="0.25">
      <c r="B20" s="8" t="s">
        <v>31</v>
      </c>
      <c r="E20" s="276"/>
      <c r="F20" s="276"/>
      <c r="G20" s="10"/>
      <c r="H20" s="37">
        <v>1496</v>
      </c>
      <c r="I20" s="10"/>
      <c r="J20" s="10"/>
      <c r="K20" s="10">
        <f>500+250</f>
        <v>750</v>
      </c>
      <c r="L20" s="10"/>
      <c r="M20" s="10"/>
      <c r="N20" s="44">
        <f>+K20-E20</f>
        <v>750</v>
      </c>
      <c r="O20" s="10"/>
      <c r="P20" s="37">
        <v>0</v>
      </c>
      <c r="Q20" s="10"/>
      <c r="R20" s="10"/>
      <c r="S20" s="44">
        <f t="shared" ref="S20:S33" si="1">-E20+P20</f>
        <v>0</v>
      </c>
      <c r="U20" s="12"/>
      <c r="V20" s="12"/>
      <c r="W20" s="12"/>
    </row>
    <row r="21" spans="1:23" s="8" customFormat="1" x14ac:dyDescent="0.25">
      <c r="B21" s="8" t="s">
        <v>20</v>
      </c>
      <c r="E21" s="276"/>
      <c r="F21" s="276"/>
      <c r="G21" s="10"/>
      <c r="H21" s="37">
        <v>1200</v>
      </c>
      <c r="I21" s="10"/>
      <c r="J21" s="10"/>
      <c r="K21" s="10">
        <f>250+250</f>
        <v>500</v>
      </c>
      <c r="L21" s="10"/>
      <c r="M21" s="10"/>
      <c r="N21" s="44">
        <f>+K21-E21</f>
        <v>500</v>
      </c>
      <c r="O21" s="10"/>
      <c r="P21" s="37">
        <v>0</v>
      </c>
      <c r="Q21" s="10"/>
      <c r="R21" s="10"/>
      <c r="S21" s="44">
        <f t="shared" si="1"/>
        <v>0</v>
      </c>
      <c r="U21" s="12"/>
      <c r="V21" s="12"/>
      <c r="W21" s="12"/>
    </row>
    <row r="22" spans="1:23" s="8" customFormat="1" x14ac:dyDescent="0.25">
      <c r="B22" s="8" t="s">
        <v>10</v>
      </c>
      <c r="E22" s="276"/>
      <c r="F22" s="276"/>
      <c r="G22" s="10"/>
      <c r="H22" s="37">
        <v>0</v>
      </c>
      <c r="I22" s="10"/>
      <c r="J22" s="10"/>
      <c r="K22" s="10">
        <v>400</v>
      </c>
      <c r="L22" s="10"/>
      <c r="M22" s="10"/>
      <c r="N22" s="44">
        <f>+K22-E22</f>
        <v>400</v>
      </c>
      <c r="O22" s="10"/>
      <c r="P22" s="37">
        <v>0</v>
      </c>
      <c r="Q22" s="10"/>
      <c r="R22" s="10"/>
      <c r="S22" s="44">
        <f t="shared" si="1"/>
        <v>0</v>
      </c>
      <c r="U22" s="12"/>
      <c r="V22" s="12"/>
      <c r="W22" s="12"/>
    </row>
    <row r="23" spans="1:23" s="8" customFormat="1" x14ac:dyDescent="0.25">
      <c r="B23" s="8" t="s">
        <v>17</v>
      </c>
      <c r="E23" s="276"/>
      <c r="F23" s="276"/>
      <c r="G23" s="10"/>
      <c r="H23" s="37">
        <v>0</v>
      </c>
      <c r="I23" s="10"/>
      <c r="J23" s="10"/>
      <c r="K23" s="10">
        <v>0</v>
      </c>
      <c r="L23" s="10"/>
      <c r="M23" s="10"/>
      <c r="N23" s="44">
        <f>+K23-E23</f>
        <v>0</v>
      </c>
      <c r="O23" s="10"/>
      <c r="P23" s="37">
        <v>21</v>
      </c>
      <c r="Q23" s="10"/>
      <c r="R23" s="10"/>
      <c r="S23" s="44">
        <f t="shared" si="1"/>
        <v>21</v>
      </c>
      <c r="U23" s="12"/>
      <c r="V23" s="12"/>
      <c r="W23" s="12"/>
    </row>
    <row r="24" spans="1:23" s="8" customFormat="1" x14ac:dyDescent="0.25">
      <c r="B24" s="8" t="s">
        <v>12</v>
      </c>
      <c r="E24" s="276"/>
      <c r="F24" s="276"/>
      <c r="G24" s="10"/>
      <c r="H24" s="37">
        <f>1054+513</f>
        <v>1567</v>
      </c>
      <c r="I24" s="10"/>
      <c r="J24" s="10"/>
      <c r="K24" s="10">
        <f>150+50+20+50+95</f>
        <v>365</v>
      </c>
      <c r="L24" s="10"/>
      <c r="M24" s="10"/>
      <c r="N24" s="44">
        <f>+K24-E24</f>
        <v>365</v>
      </c>
      <c r="O24" s="10"/>
      <c r="P24" s="37">
        <f>150</f>
        <v>150</v>
      </c>
      <c r="Q24" s="10"/>
      <c r="R24" s="10"/>
      <c r="S24" s="44">
        <f t="shared" si="1"/>
        <v>150</v>
      </c>
      <c r="U24" s="12"/>
      <c r="V24" s="12"/>
      <c r="W24" s="12"/>
    </row>
    <row r="25" spans="1:23" s="8" customFormat="1" x14ac:dyDescent="0.25">
      <c r="B25" s="8" t="s">
        <v>14</v>
      </c>
      <c r="E25" s="276"/>
      <c r="F25" s="276"/>
      <c r="G25" s="10"/>
      <c r="H25" s="37">
        <v>400</v>
      </c>
      <c r="I25" s="10"/>
      <c r="J25" s="10"/>
      <c r="K25" s="10">
        <f>400+500</f>
        <v>900</v>
      </c>
      <c r="L25" s="10"/>
      <c r="M25" s="10"/>
      <c r="N25" s="44">
        <f>+K25-E25</f>
        <v>900</v>
      </c>
      <c r="O25" s="10"/>
      <c r="P25" s="37">
        <v>259.54000000000002</v>
      </c>
      <c r="Q25" s="10"/>
      <c r="R25" s="10"/>
      <c r="S25" s="44">
        <f t="shared" si="1"/>
        <v>259.54000000000002</v>
      </c>
      <c r="U25" s="12"/>
      <c r="V25" s="12"/>
      <c r="W25" s="12"/>
    </row>
    <row r="26" spans="1:23" s="8" customFormat="1" x14ac:dyDescent="0.25">
      <c r="B26" s="8" t="s">
        <v>15</v>
      </c>
      <c r="E26" s="276">
        <f>9800-E27-E70-E71</f>
        <v>7864.6399999999994</v>
      </c>
      <c r="F26" s="276"/>
      <c r="G26" s="10"/>
      <c r="H26" s="37">
        <f>300+271+600+476+1825</f>
        <v>3472</v>
      </c>
      <c r="I26" s="10"/>
      <c r="J26" s="10"/>
      <c r="K26" s="10">
        <f>210+180+240+450+300+1000</f>
        <v>2380</v>
      </c>
      <c r="L26" s="10"/>
      <c r="M26" s="10"/>
      <c r="N26" s="44">
        <f>+K26-E26</f>
        <v>-5484.6399999999994</v>
      </c>
      <c r="O26" s="10"/>
      <c r="P26" s="37">
        <f>101.76+107.35+286.58+2198+553.53+677.24</f>
        <v>3924.46</v>
      </c>
      <c r="Q26" s="10"/>
      <c r="R26" s="10"/>
      <c r="S26" s="44">
        <f t="shared" si="1"/>
        <v>-3940.1799999999994</v>
      </c>
      <c r="U26" s="12" t="s">
        <v>50</v>
      </c>
      <c r="V26" s="12"/>
      <c r="W26" s="12"/>
    </row>
    <row r="27" spans="1:23" s="8" customFormat="1" x14ac:dyDescent="0.25">
      <c r="B27" s="8" t="s">
        <v>62</v>
      </c>
      <c r="E27" s="276">
        <f>75*12</f>
        <v>900</v>
      </c>
      <c r="F27" s="276"/>
      <c r="G27" s="10"/>
      <c r="H27" s="72">
        <f>75*12</f>
        <v>900</v>
      </c>
      <c r="I27" s="10"/>
      <c r="J27" s="10"/>
      <c r="K27" s="10">
        <v>336</v>
      </c>
      <c r="L27" s="10"/>
      <c r="M27" s="10"/>
      <c r="N27" s="44">
        <f>+K27-E27</f>
        <v>-564</v>
      </c>
      <c r="O27" s="10"/>
      <c r="P27" s="37">
        <f>488.25+417.85</f>
        <v>906.1</v>
      </c>
      <c r="Q27" s="10"/>
      <c r="R27" s="10"/>
      <c r="S27" s="44">
        <f t="shared" si="1"/>
        <v>6.1000000000000227</v>
      </c>
      <c r="U27" s="12"/>
      <c r="V27" s="12"/>
      <c r="W27" s="12"/>
    </row>
    <row r="28" spans="1:23" s="8" customFormat="1" x14ac:dyDescent="0.25">
      <c r="B28" s="8" t="s">
        <v>80</v>
      </c>
      <c r="E28" s="278">
        <f>9300+6000+6027</f>
        <v>21327</v>
      </c>
      <c r="F28" s="276"/>
      <c r="G28" s="10"/>
      <c r="H28" s="38">
        <f>21445-400</f>
        <v>21045</v>
      </c>
      <c r="I28" s="10"/>
      <c r="J28" s="10"/>
      <c r="K28" s="34">
        <f>1856+3750+2785+9545</f>
        <v>17936</v>
      </c>
      <c r="L28" s="10"/>
      <c r="M28" s="10"/>
      <c r="N28" s="44">
        <f>+K28-E28</f>
        <v>-3391</v>
      </c>
      <c r="O28" s="10"/>
      <c r="P28" s="38">
        <v>19949.400000000001</v>
      </c>
      <c r="Q28" s="10"/>
      <c r="R28" s="10"/>
      <c r="S28" s="44">
        <f t="shared" si="1"/>
        <v>-1377.5999999999985</v>
      </c>
      <c r="U28" s="12"/>
      <c r="V28" s="12"/>
      <c r="W28" s="12"/>
    </row>
    <row r="29" spans="1:23" s="8" customFormat="1" x14ac:dyDescent="0.25">
      <c r="B29" s="8" t="s">
        <v>48</v>
      </c>
      <c r="E29" s="278">
        <v>7300</v>
      </c>
      <c r="F29" s="276"/>
      <c r="G29" s="10"/>
      <c r="H29" s="73">
        <f>608*12</f>
        <v>7296</v>
      </c>
      <c r="I29" s="10"/>
      <c r="J29" s="10"/>
      <c r="K29" s="34">
        <v>0</v>
      </c>
      <c r="L29" s="10"/>
      <c r="M29" s="10"/>
      <c r="N29" s="58">
        <f>+K29-E29</f>
        <v>-7300</v>
      </c>
      <c r="O29" s="10"/>
      <c r="P29" s="38">
        <v>4360.42</v>
      </c>
      <c r="Q29" s="10"/>
      <c r="R29" s="10"/>
      <c r="S29" s="44">
        <f t="shared" si="1"/>
        <v>-2939.58</v>
      </c>
      <c r="U29" s="12" t="s">
        <v>49</v>
      </c>
      <c r="V29" s="12"/>
      <c r="W29" s="12"/>
    </row>
    <row r="30" spans="1:23" s="8" customFormat="1" x14ac:dyDescent="0.25">
      <c r="B30" s="8" t="s">
        <v>58</v>
      </c>
      <c r="E30" s="278">
        <v>0</v>
      </c>
      <c r="F30" s="276"/>
      <c r="G30" s="10"/>
      <c r="H30" s="38">
        <v>0</v>
      </c>
      <c r="I30" s="10"/>
      <c r="J30" s="10"/>
      <c r="K30" s="34">
        <v>0</v>
      </c>
      <c r="L30" s="10"/>
      <c r="M30" s="10"/>
      <c r="N30" s="58">
        <f>+K30-E30</f>
        <v>0</v>
      </c>
      <c r="O30" s="10"/>
      <c r="P30" s="38">
        <v>1122.2</v>
      </c>
      <c r="Q30" s="10"/>
      <c r="R30" s="10"/>
      <c r="S30" s="44">
        <f t="shared" si="1"/>
        <v>1122.2</v>
      </c>
      <c r="U30" s="12"/>
      <c r="V30" s="12"/>
      <c r="W30" s="12"/>
    </row>
    <row r="31" spans="1:23" s="8" customFormat="1" x14ac:dyDescent="0.25">
      <c r="B31" s="8" t="s">
        <v>246</v>
      </c>
      <c r="E31" s="278">
        <f>250+850+700+600</f>
        <v>2400</v>
      </c>
      <c r="F31" s="276"/>
      <c r="G31" s="10"/>
      <c r="H31" s="38">
        <v>0</v>
      </c>
      <c r="I31" s="10"/>
      <c r="J31" s="10"/>
      <c r="K31" s="34">
        <v>0</v>
      </c>
      <c r="L31" s="10"/>
      <c r="M31" s="10"/>
      <c r="N31" s="58">
        <f>+K31-E31</f>
        <v>-2400</v>
      </c>
      <c r="O31" s="10"/>
      <c r="P31" s="38">
        <v>0</v>
      </c>
      <c r="Q31" s="10"/>
      <c r="R31" s="10"/>
      <c r="S31" s="44">
        <f t="shared" si="1"/>
        <v>-2400</v>
      </c>
      <c r="U31" s="12"/>
      <c r="V31" s="12"/>
      <c r="W31" s="12"/>
    </row>
    <row r="32" spans="1:23" s="8" customFormat="1" x14ac:dyDescent="0.25">
      <c r="B32" s="8" t="s">
        <v>52</v>
      </c>
      <c r="E32" s="278">
        <v>0</v>
      </c>
      <c r="F32" s="276"/>
      <c r="G32" s="10"/>
      <c r="H32" s="38">
        <v>2140</v>
      </c>
      <c r="I32" s="10"/>
      <c r="J32" s="10"/>
      <c r="K32" s="34">
        <v>1013</v>
      </c>
      <c r="L32" s="10"/>
      <c r="M32" s="10"/>
      <c r="N32" s="58">
        <f>+K32-E32</f>
        <v>1013</v>
      </c>
      <c r="O32" s="10"/>
      <c r="P32" s="38">
        <v>0</v>
      </c>
      <c r="Q32" s="10"/>
      <c r="R32" s="10"/>
      <c r="S32" s="44">
        <f t="shared" si="1"/>
        <v>0</v>
      </c>
      <c r="U32" s="12"/>
      <c r="V32" s="12"/>
      <c r="W32" s="12"/>
    </row>
    <row r="33" spans="1:23" s="8" customFormat="1" x14ac:dyDescent="0.25">
      <c r="B33" s="8" t="s">
        <v>53</v>
      </c>
      <c r="E33" s="279">
        <v>1800</v>
      </c>
      <c r="F33" s="276"/>
      <c r="G33" s="10"/>
      <c r="H33" s="39">
        <v>2140</v>
      </c>
      <c r="I33" s="10"/>
      <c r="J33" s="10"/>
      <c r="K33" s="13">
        <v>615</v>
      </c>
      <c r="L33" s="10"/>
      <c r="M33" s="10"/>
      <c r="N33" s="45">
        <f>+K33-E33</f>
        <v>-1185</v>
      </c>
      <c r="O33" s="10"/>
      <c r="P33" s="39">
        <v>0</v>
      </c>
      <c r="Q33" s="10"/>
      <c r="R33" s="10"/>
      <c r="S33" s="45">
        <f t="shared" si="1"/>
        <v>-1800</v>
      </c>
      <c r="U33" s="12"/>
      <c r="V33" s="12"/>
      <c r="W33" s="12"/>
    </row>
    <row r="34" spans="1:23" s="8" customFormat="1" x14ac:dyDescent="0.25">
      <c r="E34" s="276"/>
      <c r="F34" s="276"/>
      <c r="G34" s="10"/>
      <c r="H34" s="37"/>
      <c r="I34" s="10"/>
      <c r="J34" s="10"/>
      <c r="K34" s="10"/>
      <c r="L34" s="10"/>
      <c r="M34" s="10"/>
      <c r="N34" s="11"/>
      <c r="O34" s="10"/>
      <c r="P34" s="37"/>
      <c r="Q34" s="10"/>
      <c r="R34" s="10"/>
      <c r="S34" s="11"/>
      <c r="U34" s="12"/>
      <c r="V34" s="12"/>
      <c r="W34" s="12"/>
    </row>
    <row r="35" spans="1:23" s="4" customFormat="1" x14ac:dyDescent="0.25">
      <c r="A35" s="4" t="s">
        <v>16</v>
      </c>
      <c r="E35" s="274"/>
      <c r="F35" s="281">
        <f>SUM(E19:E34)</f>
        <v>48258.64</v>
      </c>
      <c r="G35" s="18"/>
      <c r="H35" s="36"/>
      <c r="I35" s="17">
        <f>SUM(H19:H34)</f>
        <v>42856</v>
      </c>
      <c r="J35" s="18"/>
      <c r="K35" s="18"/>
      <c r="L35" s="17">
        <f>SUM(K19:K34)</f>
        <v>25195</v>
      </c>
      <c r="M35" s="18"/>
      <c r="N35" s="19">
        <f>-F35+L35</f>
        <v>-23063.64</v>
      </c>
      <c r="O35" s="18"/>
      <c r="P35" s="36"/>
      <c r="Q35" s="17">
        <f>SUM(P19:P34)</f>
        <v>30693.119999999999</v>
      </c>
      <c r="R35" s="18"/>
      <c r="S35" s="19">
        <f>+Q35-I35</f>
        <v>-12162.880000000001</v>
      </c>
      <c r="U35" s="7"/>
      <c r="V35" s="7"/>
      <c r="W35" s="7"/>
    </row>
    <row r="36" spans="1:23" s="4" customFormat="1" x14ac:dyDescent="0.25">
      <c r="E36" s="274"/>
      <c r="F36" s="274"/>
      <c r="G36" s="5"/>
      <c r="H36" s="36"/>
      <c r="I36" s="5"/>
      <c r="J36" s="5"/>
      <c r="K36" s="5"/>
      <c r="L36" s="5"/>
      <c r="M36" s="5"/>
      <c r="N36" s="6"/>
      <c r="O36" s="5"/>
      <c r="P36" s="36"/>
      <c r="Q36" s="5"/>
      <c r="R36" s="5"/>
      <c r="S36" s="11"/>
      <c r="U36" s="7"/>
      <c r="V36" s="7"/>
      <c r="W36" s="7"/>
    </row>
    <row r="37" spans="1:23" s="20" customFormat="1" x14ac:dyDescent="0.25">
      <c r="A37" s="20" t="s">
        <v>41</v>
      </c>
      <c r="E37" s="274"/>
      <c r="F37" s="282">
        <f>+F16-F35</f>
        <v>-24258.639999999999</v>
      </c>
      <c r="G37" s="15"/>
      <c r="H37" s="36"/>
      <c r="I37" s="21">
        <f>+I16-I35</f>
        <v>-24856</v>
      </c>
      <c r="J37" s="15"/>
      <c r="K37" s="15"/>
      <c r="L37" s="15">
        <f>+L16-L35</f>
        <v>-7195</v>
      </c>
      <c r="M37" s="15"/>
      <c r="N37" s="16">
        <f>+I37-L37</f>
        <v>-17661</v>
      </c>
      <c r="O37" s="15"/>
      <c r="P37" s="36"/>
      <c r="Q37" s="21">
        <f>+Q16-Q35</f>
        <v>0</v>
      </c>
      <c r="R37" s="15"/>
      <c r="S37" s="16">
        <f>+I37-Q37</f>
        <v>-24856</v>
      </c>
      <c r="U37" s="22"/>
      <c r="V37" s="22"/>
      <c r="W37" s="22"/>
    </row>
    <row r="38" spans="1:23" s="4" customFormat="1" x14ac:dyDescent="0.25">
      <c r="E38" s="274"/>
      <c r="F38" s="274"/>
      <c r="G38" s="5"/>
      <c r="H38" s="36"/>
      <c r="I38" s="5"/>
      <c r="J38" s="5"/>
      <c r="K38" s="5"/>
      <c r="L38" s="5"/>
      <c r="M38" s="5"/>
      <c r="N38" s="6"/>
      <c r="O38" s="5"/>
      <c r="P38" s="36"/>
      <c r="Q38" s="5"/>
      <c r="R38" s="5"/>
      <c r="S38" s="6"/>
      <c r="U38" s="7"/>
      <c r="V38" s="7"/>
      <c r="W38" s="7"/>
    </row>
    <row r="39" spans="1:23" s="8" customFormat="1" x14ac:dyDescent="0.25">
      <c r="A39" s="4" t="s">
        <v>45</v>
      </c>
      <c r="E39" s="276"/>
      <c r="F39" s="276"/>
      <c r="G39" s="10"/>
      <c r="H39" s="37"/>
      <c r="I39" s="10"/>
      <c r="J39" s="10"/>
      <c r="K39" s="10"/>
      <c r="L39" s="10"/>
      <c r="M39" s="10"/>
      <c r="N39" s="11"/>
      <c r="O39" s="10"/>
      <c r="P39" s="37"/>
      <c r="Q39" s="10"/>
      <c r="R39" s="10"/>
      <c r="S39" s="11"/>
      <c r="U39" s="12"/>
      <c r="V39" s="12"/>
      <c r="W39" s="12"/>
    </row>
    <row r="40" spans="1:23" s="8" customFormat="1" x14ac:dyDescent="0.25">
      <c r="B40" s="4" t="s">
        <v>60</v>
      </c>
      <c r="E40" s="283">
        <v>39600</v>
      </c>
      <c r="F40" s="283"/>
      <c r="G40" s="23"/>
      <c r="H40" s="40">
        <v>17439</v>
      </c>
      <c r="I40" s="23"/>
      <c r="J40" s="23"/>
      <c r="K40" s="23">
        <v>2000</v>
      </c>
      <c r="L40" s="23"/>
      <c r="M40" s="23"/>
      <c r="N40" s="46"/>
      <c r="O40" s="23"/>
      <c r="P40" s="40">
        <v>2000</v>
      </c>
      <c r="Q40" s="23"/>
      <c r="R40" s="23"/>
      <c r="S40" s="46"/>
      <c r="U40" s="12"/>
      <c r="V40" s="12"/>
      <c r="W40" s="12"/>
    </row>
    <row r="41" spans="1:23" s="8" customFormat="1" x14ac:dyDescent="0.25">
      <c r="C41" s="8" t="s">
        <v>22</v>
      </c>
      <c r="E41" s="277"/>
      <c r="F41" s="283"/>
      <c r="G41" s="23"/>
      <c r="H41" s="62"/>
      <c r="I41" s="23"/>
      <c r="J41" s="23"/>
      <c r="K41" s="25">
        <v>0</v>
      </c>
      <c r="L41" s="23"/>
      <c r="M41" s="23"/>
      <c r="N41" s="44"/>
      <c r="O41" s="23"/>
      <c r="P41" s="62">
        <v>0</v>
      </c>
      <c r="Q41" s="23"/>
      <c r="R41" s="23"/>
      <c r="S41" s="44"/>
      <c r="U41" s="12"/>
      <c r="V41" s="12"/>
      <c r="W41" s="12"/>
    </row>
    <row r="42" spans="1:23" s="8" customFormat="1" x14ac:dyDescent="0.25">
      <c r="C42" s="8" t="s">
        <v>23</v>
      </c>
      <c r="E42" s="277"/>
      <c r="F42" s="283"/>
      <c r="G42" s="23"/>
      <c r="H42" s="62"/>
      <c r="I42" s="23"/>
      <c r="J42" s="23"/>
      <c r="K42" s="25">
        <v>0</v>
      </c>
      <c r="L42" s="23"/>
      <c r="M42" s="23"/>
      <c r="N42" s="44"/>
      <c r="O42" s="23"/>
      <c r="P42" s="62">
        <v>1102</v>
      </c>
      <c r="Q42" s="23"/>
      <c r="R42" s="23"/>
      <c r="S42" s="44"/>
      <c r="U42" s="12"/>
      <c r="V42" s="12"/>
      <c r="W42" s="12"/>
    </row>
    <row r="43" spans="1:23" s="8" customFormat="1" x14ac:dyDescent="0.25">
      <c r="C43" s="8" t="s">
        <v>24</v>
      </c>
      <c r="E43" s="277"/>
      <c r="F43" s="283"/>
      <c r="G43" s="23"/>
      <c r="H43" s="62"/>
      <c r="I43" s="23"/>
      <c r="J43" s="23"/>
      <c r="K43" s="25">
        <v>0</v>
      </c>
      <c r="L43" s="23"/>
      <c r="M43" s="23"/>
      <c r="N43" s="44"/>
      <c r="O43" s="23"/>
      <c r="P43" s="62">
        <v>2690.25</v>
      </c>
      <c r="Q43" s="23"/>
      <c r="R43" s="23"/>
      <c r="S43" s="44"/>
      <c r="U43" s="12"/>
      <c r="V43" s="12"/>
      <c r="W43" s="12"/>
    </row>
    <row r="44" spans="1:23" s="8" customFormat="1" x14ac:dyDescent="0.25">
      <c r="C44" s="8" t="s">
        <v>25</v>
      </c>
      <c r="E44" s="277"/>
      <c r="F44" s="283"/>
      <c r="G44" s="23"/>
      <c r="H44" s="25"/>
      <c r="I44" s="23"/>
      <c r="J44" s="23"/>
      <c r="K44" s="25">
        <v>2675</v>
      </c>
      <c r="L44" s="23"/>
      <c r="M44" s="23"/>
      <c r="N44" s="44"/>
      <c r="O44" s="23"/>
      <c r="P44" s="25">
        <f>925+1000</f>
        <v>1925</v>
      </c>
      <c r="Q44" s="23"/>
      <c r="R44" s="23"/>
      <c r="S44" s="44"/>
      <c r="U44" s="12"/>
      <c r="V44" s="12"/>
      <c r="W44" s="12"/>
    </row>
    <row r="45" spans="1:23" s="8" customFormat="1" x14ac:dyDescent="0.25">
      <c r="C45" s="8" t="s">
        <v>68</v>
      </c>
      <c r="E45" s="277"/>
      <c r="F45" s="283"/>
      <c r="G45" s="23"/>
      <c r="H45" s="25"/>
      <c r="I45" s="23"/>
      <c r="J45" s="23"/>
      <c r="K45" s="25">
        <v>0</v>
      </c>
      <c r="L45" s="23"/>
      <c r="M45" s="23"/>
      <c r="N45" s="44"/>
      <c r="O45" s="23"/>
      <c r="P45" s="25">
        <v>900</v>
      </c>
      <c r="Q45" s="23"/>
      <c r="R45" s="23"/>
      <c r="S45" s="44"/>
      <c r="U45" s="12"/>
      <c r="V45" s="12"/>
      <c r="W45" s="12"/>
    </row>
    <row r="46" spans="1:23" s="8" customFormat="1" x14ac:dyDescent="0.25">
      <c r="C46" s="8" t="s">
        <v>72</v>
      </c>
      <c r="E46" s="277"/>
      <c r="F46" s="283"/>
      <c r="G46" s="23"/>
      <c r="H46" s="25"/>
      <c r="I46" s="23"/>
      <c r="J46" s="23"/>
      <c r="K46" s="25">
        <v>0</v>
      </c>
      <c r="L46" s="23"/>
      <c r="M46" s="23"/>
      <c r="N46" s="44"/>
      <c r="O46" s="23"/>
      <c r="P46" s="25">
        <v>2500</v>
      </c>
      <c r="Q46" s="23"/>
      <c r="R46" s="23"/>
      <c r="S46" s="44"/>
      <c r="U46" s="12"/>
      <c r="V46" s="12"/>
      <c r="W46" s="12"/>
    </row>
    <row r="47" spans="1:23" s="8" customFormat="1" x14ac:dyDescent="0.25">
      <c r="C47" s="8" t="s">
        <v>74</v>
      </c>
      <c r="E47" s="277"/>
      <c r="F47" s="283"/>
      <c r="G47" s="23"/>
      <c r="H47" s="25"/>
      <c r="I47" s="23"/>
      <c r="J47" s="23"/>
      <c r="K47" s="25"/>
      <c r="L47" s="23"/>
      <c r="M47" s="23"/>
      <c r="N47" s="44"/>
      <c r="O47" s="23"/>
      <c r="P47" s="25">
        <v>2500</v>
      </c>
      <c r="Q47" s="23"/>
      <c r="R47" s="23"/>
      <c r="S47" s="44"/>
      <c r="U47" s="12"/>
      <c r="V47" s="12"/>
      <c r="W47" s="12"/>
    </row>
    <row r="48" spans="1:23" s="8" customFormat="1" x14ac:dyDescent="0.25">
      <c r="C48" s="8" t="s">
        <v>42</v>
      </c>
      <c r="E48" s="277"/>
      <c r="F48" s="283"/>
      <c r="G48" s="23"/>
      <c r="H48" s="25"/>
      <c r="I48" s="23"/>
      <c r="J48" s="23"/>
      <c r="K48" s="25">
        <v>0</v>
      </c>
      <c r="L48" s="23"/>
      <c r="M48" s="23"/>
      <c r="N48" s="44"/>
      <c r="O48" s="23"/>
      <c r="P48" s="25">
        <v>37630</v>
      </c>
      <c r="Q48" s="23"/>
      <c r="R48" s="23"/>
      <c r="S48" s="44"/>
      <c r="U48" s="12"/>
      <c r="V48" s="12"/>
      <c r="W48" s="12"/>
    </row>
    <row r="49" spans="2:23" s="8" customFormat="1" x14ac:dyDescent="0.25">
      <c r="C49" s="8" t="s">
        <v>73</v>
      </c>
      <c r="E49" s="277"/>
      <c r="F49" s="283"/>
      <c r="G49" s="23"/>
      <c r="H49" s="25"/>
      <c r="I49" s="23"/>
      <c r="J49" s="23"/>
      <c r="K49" s="25"/>
      <c r="L49" s="23"/>
      <c r="M49" s="23"/>
      <c r="N49" s="44"/>
      <c r="O49" s="23"/>
      <c r="P49" s="25">
        <v>20217.87</v>
      </c>
      <c r="Q49" s="23"/>
      <c r="R49" s="23"/>
      <c r="S49" s="44"/>
      <c r="U49" s="12"/>
      <c r="V49" s="12"/>
      <c r="W49" s="12"/>
    </row>
    <row r="50" spans="2:23" s="8" customFormat="1" x14ac:dyDescent="0.25">
      <c r="C50" s="8" t="s">
        <v>44</v>
      </c>
      <c r="E50" s="284"/>
      <c r="F50" s="285"/>
      <c r="G50" s="47"/>
      <c r="H50" s="63"/>
      <c r="I50" s="47"/>
      <c r="J50" s="47"/>
      <c r="K50" s="25">
        <v>0</v>
      </c>
      <c r="L50" s="23"/>
      <c r="M50" s="23"/>
      <c r="N50" s="44"/>
      <c r="O50" s="23"/>
      <c r="P50" s="63">
        <v>2262</v>
      </c>
      <c r="Q50" s="47"/>
      <c r="R50" s="23"/>
      <c r="S50" s="44"/>
      <c r="U50" s="12"/>
      <c r="V50" s="12"/>
      <c r="W50" s="12"/>
    </row>
    <row r="51" spans="2:23" s="8" customFormat="1" x14ac:dyDescent="0.25">
      <c r="E51" s="277"/>
      <c r="F51" s="283"/>
      <c r="G51" s="23"/>
      <c r="H51" s="62"/>
      <c r="I51" s="23"/>
      <c r="J51" s="23"/>
      <c r="K51" s="25"/>
      <c r="L51" s="23"/>
      <c r="M51" s="23"/>
      <c r="N51" s="24"/>
      <c r="O51" s="23"/>
      <c r="P51" s="62"/>
      <c r="Q51" s="23"/>
      <c r="R51" s="23"/>
      <c r="S51" s="24"/>
      <c r="U51" s="12"/>
      <c r="V51" s="12"/>
      <c r="W51" s="12"/>
    </row>
    <row r="52" spans="2:23" s="8" customFormat="1" x14ac:dyDescent="0.25">
      <c r="B52" s="8" t="s">
        <v>35</v>
      </c>
      <c r="E52" s="277"/>
      <c r="F52" s="283"/>
      <c r="G52" s="23"/>
      <c r="H52" s="62">
        <v>13798</v>
      </c>
      <c r="I52" s="23"/>
      <c r="J52" s="23"/>
      <c r="K52" s="25"/>
      <c r="L52" s="23"/>
      <c r="M52" s="23"/>
      <c r="N52" s="24"/>
      <c r="O52" s="23"/>
      <c r="P52" s="62"/>
      <c r="Q52" s="23"/>
      <c r="R52" s="23"/>
      <c r="S52" s="24"/>
      <c r="U52" s="12"/>
      <c r="V52" s="12"/>
      <c r="W52" s="12"/>
    </row>
    <row r="53" spans="2:23" s="8" customFormat="1" x14ac:dyDescent="0.25">
      <c r="C53" s="8" t="s">
        <v>244</v>
      </c>
      <c r="E53" s="277">
        <v>22900</v>
      </c>
      <c r="F53" s="283"/>
      <c r="G53" s="23"/>
      <c r="H53" s="62"/>
      <c r="I53" s="23"/>
      <c r="J53" s="23"/>
      <c r="K53" s="25"/>
      <c r="L53" s="23"/>
      <c r="M53" s="23"/>
      <c r="N53" s="24"/>
      <c r="O53" s="23"/>
      <c r="P53" s="62"/>
      <c r="Q53" s="23"/>
      <c r="R53" s="23"/>
      <c r="S53" s="24"/>
      <c r="U53" s="12"/>
      <c r="V53" s="12"/>
      <c r="W53" s="12"/>
    </row>
    <row r="54" spans="2:23" s="8" customFormat="1" x14ac:dyDescent="0.25">
      <c r="C54" s="8" t="s">
        <v>245</v>
      </c>
      <c r="E54" s="277">
        <v>3675</v>
      </c>
      <c r="F54" s="283"/>
      <c r="G54" s="23"/>
      <c r="H54" s="62"/>
      <c r="I54" s="23"/>
      <c r="J54" s="23"/>
      <c r="K54" s="25"/>
      <c r="L54" s="23"/>
      <c r="M54" s="23"/>
      <c r="N54" s="24"/>
      <c r="O54" s="23"/>
      <c r="P54" s="62"/>
      <c r="Q54" s="23"/>
      <c r="R54" s="23"/>
      <c r="S54" s="24"/>
      <c r="U54" s="12"/>
      <c r="V54" s="12"/>
      <c r="W54" s="12"/>
    </row>
    <row r="55" spans="2:23" s="8" customFormat="1" x14ac:dyDescent="0.25">
      <c r="C55" s="8" t="s">
        <v>28</v>
      </c>
      <c r="E55" s="277"/>
      <c r="F55" s="283"/>
      <c r="G55" s="23"/>
      <c r="H55" s="62"/>
      <c r="I55" s="23"/>
      <c r="J55" s="23"/>
      <c r="K55" s="25">
        <v>0</v>
      </c>
      <c r="L55" s="23"/>
      <c r="M55" s="23"/>
      <c r="N55" s="44"/>
      <c r="O55" s="23"/>
      <c r="P55" s="62">
        <v>0</v>
      </c>
      <c r="Q55" s="23"/>
      <c r="R55" s="23"/>
      <c r="S55" s="44"/>
      <c r="U55" s="12"/>
      <c r="V55" s="12"/>
      <c r="W55" s="12"/>
    </row>
    <row r="56" spans="2:23" s="8" customFormat="1" x14ac:dyDescent="0.25">
      <c r="C56" s="8" t="s">
        <v>29</v>
      </c>
      <c r="E56" s="277"/>
      <c r="F56" s="283"/>
      <c r="G56" s="23"/>
      <c r="H56" s="62"/>
      <c r="I56" s="23"/>
      <c r="J56" s="23"/>
      <c r="K56" s="25">
        <v>0</v>
      </c>
      <c r="L56" s="23"/>
      <c r="M56" s="23"/>
      <c r="N56" s="44"/>
      <c r="O56" s="23"/>
      <c r="P56" s="62">
        <v>831</v>
      </c>
      <c r="Q56" s="23"/>
      <c r="R56" s="23"/>
      <c r="S56" s="44"/>
      <c r="U56" s="12"/>
      <c r="V56" s="12"/>
      <c r="W56" s="12"/>
    </row>
    <row r="57" spans="2:23" s="8" customFormat="1" x14ac:dyDescent="0.25">
      <c r="C57" s="8" t="s">
        <v>32</v>
      </c>
      <c r="E57" s="277"/>
      <c r="F57" s="283"/>
      <c r="G57" s="23"/>
      <c r="H57" s="62"/>
      <c r="I57" s="23"/>
      <c r="J57" s="23"/>
      <c r="K57" s="25">
        <v>0</v>
      </c>
      <c r="L57" s="23"/>
      <c r="M57" s="23"/>
      <c r="N57" s="44"/>
      <c r="O57" s="23"/>
      <c r="P57" s="62">
        <v>0</v>
      </c>
      <c r="Q57" s="23"/>
      <c r="R57" s="23"/>
      <c r="S57" s="44"/>
      <c r="U57" s="12"/>
      <c r="V57" s="12"/>
      <c r="W57" s="12"/>
    </row>
    <row r="58" spans="2:23" s="8" customFormat="1" x14ac:dyDescent="0.25">
      <c r="C58" s="8" t="s">
        <v>33</v>
      </c>
      <c r="E58" s="277"/>
      <c r="F58" s="283"/>
      <c r="G58" s="23"/>
      <c r="H58" s="62"/>
      <c r="I58" s="23"/>
      <c r="J58" s="23"/>
      <c r="K58" s="25">
        <v>0</v>
      </c>
      <c r="L58" s="23"/>
      <c r="M58" s="23"/>
      <c r="N58" s="44"/>
      <c r="O58" s="23"/>
      <c r="P58" s="62">
        <v>0</v>
      </c>
      <c r="Q58" s="23"/>
      <c r="R58" s="23"/>
      <c r="S58" s="44"/>
      <c r="U58" s="12"/>
      <c r="V58" s="12"/>
      <c r="W58" s="12"/>
    </row>
    <row r="59" spans="2:23" s="8" customFormat="1" x14ac:dyDescent="0.25">
      <c r="C59" s="8" t="s">
        <v>34</v>
      </c>
      <c r="E59" s="277"/>
      <c r="F59" s="283"/>
      <c r="G59" s="23"/>
      <c r="H59" s="62"/>
      <c r="I59" s="23"/>
      <c r="J59" s="23"/>
      <c r="K59" s="25">
        <v>0</v>
      </c>
      <c r="L59" s="23"/>
      <c r="M59" s="23"/>
      <c r="N59" s="44"/>
      <c r="O59" s="23"/>
      <c r="P59" s="62">
        <v>1031.58</v>
      </c>
      <c r="Q59" s="23"/>
      <c r="R59" s="23"/>
      <c r="S59" s="44"/>
      <c r="U59" s="12"/>
      <c r="V59" s="12"/>
      <c r="W59" s="12"/>
    </row>
    <row r="60" spans="2:23" s="8" customFormat="1" x14ac:dyDescent="0.25">
      <c r="C60" s="8" t="s">
        <v>37</v>
      </c>
      <c r="E60" s="277"/>
      <c r="F60" s="283"/>
      <c r="G60" s="23"/>
      <c r="H60" s="62"/>
      <c r="I60" s="23"/>
      <c r="J60" s="23"/>
      <c r="K60" s="25">
        <v>0</v>
      </c>
      <c r="L60" s="23"/>
      <c r="M60" s="23"/>
      <c r="N60" s="44"/>
      <c r="O60" s="23"/>
      <c r="P60" s="62">
        <v>18696.75</v>
      </c>
      <c r="Q60" s="23"/>
      <c r="R60" s="23"/>
      <c r="S60" s="44"/>
      <c r="U60" s="12"/>
      <c r="V60" s="12"/>
      <c r="W60" s="12"/>
    </row>
    <row r="61" spans="2:23" s="8" customFormat="1" x14ac:dyDescent="0.25">
      <c r="C61" s="8" t="s">
        <v>38</v>
      </c>
      <c r="E61" s="277"/>
      <c r="F61" s="283"/>
      <c r="G61" s="23"/>
      <c r="H61" s="62"/>
      <c r="I61" s="23"/>
      <c r="J61" s="23"/>
      <c r="K61" s="25">
        <v>0</v>
      </c>
      <c r="L61" s="23"/>
      <c r="M61" s="23"/>
      <c r="N61" s="44"/>
      <c r="O61" s="23"/>
      <c r="P61" s="62">
        <v>11705.33</v>
      </c>
      <c r="Q61" s="23"/>
      <c r="R61" s="23"/>
      <c r="S61" s="44"/>
      <c r="U61" s="12"/>
      <c r="V61" s="12"/>
      <c r="W61" s="12"/>
    </row>
    <row r="62" spans="2:23" s="8" customFormat="1" x14ac:dyDescent="0.25">
      <c r="C62" s="8" t="s">
        <v>59</v>
      </c>
      <c r="E62" s="277"/>
      <c r="F62" s="283"/>
      <c r="G62" s="23"/>
      <c r="H62" s="62"/>
      <c r="I62" s="23"/>
      <c r="J62" s="23"/>
      <c r="K62" s="25">
        <v>0</v>
      </c>
      <c r="L62" s="23"/>
      <c r="M62" s="23"/>
      <c r="N62" s="44"/>
      <c r="O62" s="23"/>
      <c r="P62" s="62">
        <v>5715.24</v>
      </c>
      <c r="Q62" s="23"/>
      <c r="R62" s="23"/>
      <c r="S62" s="44"/>
      <c r="U62" s="12"/>
      <c r="V62" s="12"/>
      <c r="W62" s="12"/>
    </row>
    <row r="63" spans="2:23" s="8" customFormat="1" x14ac:dyDescent="0.25">
      <c r="C63" s="8" t="s">
        <v>66</v>
      </c>
      <c r="E63" s="277">
        <v>6027</v>
      </c>
      <c r="F63" s="283"/>
      <c r="G63" s="23"/>
      <c r="H63" s="62"/>
      <c r="I63" s="23"/>
      <c r="J63" s="23"/>
      <c r="K63" s="25">
        <v>0</v>
      </c>
      <c r="L63" s="23"/>
      <c r="M63" s="23"/>
      <c r="N63" s="44"/>
      <c r="O63" s="23"/>
      <c r="P63" s="62">
        <v>1894.24</v>
      </c>
      <c r="Q63" s="23"/>
      <c r="R63" s="23"/>
      <c r="S63" s="44"/>
      <c r="U63" s="12"/>
      <c r="V63" s="12"/>
      <c r="W63" s="12"/>
    </row>
    <row r="64" spans="2:23" s="8" customFormat="1" x14ac:dyDescent="0.25">
      <c r="C64" s="8" t="s">
        <v>67</v>
      </c>
      <c r="E64" s="277"/>
      <c r="F64" s="283"/>
      <c r="G64" s="23"/>
      <c r="H64" s="62"/>
      <c r="I64" s="23"/>
      <c r="J64" s="23"/>
      <c r="K64" s="25">
        <v>0</v>
      </c>
      <c r="L64" s="23"/>
      <c r="M64" s="23"/>
      <c r="N64" s="44"/>
      <c r="O64" s="23"/>
      <c r="P64" s="62">
        <v>950.84</v>
      </c>
      <c r="Q64" s="23"/>
      <c r="R64" s="23"/>
      <c r="S64" s="44"/>
      <c r="U64" s="12"/>
      <c r="V64" s="12"/>
      <c r="W64" s="12"/>
    </row>
    <row r="65" spans="1:23" s="8" customFormat="1" x14ac:dyDescent="0.25">
      <c r="C65" s="8" t="s">
        <v>40</v>
      </c>
      <c r="E65" s="277"/>
      <c r="F65" s="283"/>
      <c r="G65" s="23"/>
      <c r="H65" s="62"/>
      <c r="I65" s="23"/>
      <c r="J65" s="23"/>
      <c r="K65" s="25">
        <v>0</v>
      </c>
      <c r="L65" s="23"/>
      <c r="M65" s="23"/>
      <c r="N65" s="44"/>
      <c r="O65" s="23"/>
      <c r="P65" s="62">
        <v>0</v>
      </c>
      <c r="Q65" s="23"/>
      <c r="R65" s="23"/>
      <c r="S65" s="44"/>
      <c r="U65" s="12"/>
      <c r="V65" s="12"/>
      <c r="W65" s="12"/>
    </row>
    <row r="66" spans="1:23" s="8" customFormat="1" x14ac:dyDescent="0.25">
      <c r="C66" s="8" t="s">
        <v>65</v>
      </c>
      <c r="E66" s="277"/>
      <c r="F66" s="283"/>
      <c r="G66" s="23"/>
      <c r="H66" s="62"/>
      <c r="I66" s="23"/>
      <c r="J66" s="23"/>
      <c r="K66" s="25">
        <v>0</v>
      </c>
      <c r="L66" s="23"/>
      <c r="M66" s="23"/>
      <c r="N66" s="44"/>
      <c r="O66" s="23"/>
      <c r="P66" s="62">
        <v>1575</v>
      </c>
      <c r="Q66" s="23"/>
      <c r="R66" s="23"/>
      <c r="S66" s="44"/>
      <c r="U66" s="12"/>
      <c r="V66" s="12"/>
      <c r="W66" s="12"/>
    </row>
    <row r="67" spans="1:23" s="8" customFormat="1" x14ac:dyDescent="0.25">
      <c r="C67" s="8" t="s">
        <v>27</v>
      </c>
      <c r="E67" s="284"/>
      <c r="F67" s="283"/>
      <c r="G67" s="23"/>
      <c r="H67" s="65"/>
      <c r="I67" s="23"/>
      <c r="J67" s="23"/>
      <c r="K67" s="25">
        <v>0</v>
      </c>
      <c r="L67" s="23"/>
      <c r="M67" s="23"/>
      <c r="N67" s="44"/>
      <c r="O67" s="23"/>
      <c r="P67" s="65">
        <v>-240</v>
      </c>
      <c r="Q67" s="23"/>
      <c r="R67" s="23"/>
      <c r="S67" s="44"/>
      <c r="U67" s="12"/>
      <c r="V67" s="12"/>
      <c r="W67" s="12"/>
    </row>
    <row r="68" spans="1:23" s="8" customFormat="1" x14ac:dyDescent="0.25">
      <c r="C68" s="8" t="s">
        <v>26</v>
      </c>
      <c r="E68" s="286"/>
      <c r="F68" s="283"/>
      <c r="G68" s="23"/>
      <c r="H68" s="66"/>
      <c r="I68" s="23"/>
      <c r="J68" s="23"/>
      <c r="K68" s="25">
        <v>447</v>
      </c>
      <c r="L68" s="23"/>
      <c r="M68" s="23"/>
      <c r="N68" s="44"/>
      <c r="O68" s="23"/>
      <c r="P68" s="66">
        <v>594.80999999999995</v>
      </c>
      <c r="Q68" s="23"/>
      <c r="R68" s="23"/>
      <c r="S68" s="44"/>
      <c r="U68" s="12"/>
      <c r="V68" s="12"/>
      <c r="W68" s="12"/>
    </row>
    <row r="69" spans="1:23" s="8" customFormat="1" x14ac:dyDescent="0.25">
      <c r="C69" s="8" t="s">
        <v>36</v>
      </c>
      <c r="E69" s="286"/>
      <c r="F69" s="283"/>
      <c r="G69" s="23"/>
      <c r="H69" s="66"/>
      <c r="I69" s="23"/>
      <c r="J69" s="23"/>
      <c r="K69" s="25">
        <v>1576</v>
      </c>
      <c r="L69" s="23"/>
      <c r="M69" s="23"/>
      <c r="N69" s="44"/>
      <c r="O69" s="23"/>
      <c r="P69" s="66">
        <v>1412.5</v>
      </c>
      <c r="Q69" s="23"/>
      <c r="R69" s="23"/>
      <c r="S69" s="44"/>
      <c r="U69" s="12"/>
      <c r="V69" s="12"/>
      <c r="W69" s="12"/>
    </row>
    <row r="70" spans="1:23" s="8" customFormat="1" x14ac:dyDescent="0.25">
      <c r="C70" s="8" t="s">
        <v>70</v>
      </c>
      <c r="E70" s="286">
        <f>33.28*12</f>
        <v>399.36</v>
      </c>
      <c r="F70" s="283"/>
      <c r="G70" s="23"/>
      <c r="H70" s="74">
        <f>33.28*12</f>
        <v>399.36</v>
      </c>
      <c r="I70" s="23"/>
      <c r="J70" s="23"/>
      <c r="K70" s="25">
        <v>0</v>
      </c>
      <c r="L70" s="23"/>
      <c r="M70" s="23"/>
      <c r="N70" s="44"/>
      <c r="O70" s="23"/>
      <c r="P70" s="66">
        <v>351.22</v>
      </c>
      <c r="Q70" s="23"/>
      <c r="R70" s="23"/>
      <c r="S70" s="44"/>
      <c r="U70" s="12"/>
      <c r="V70" s="12"/>
      <c r="W70" s="12"/>
    </row>
    <row r="71" spans="1:23" s="8" customFormat="1" x14ac:dyDescent="0.25">
      <c r="C71" s="8" t="s">
        <v>69</v>
      </c>
      <c r="E71" s="286">
        <v>636</v>
      </c>
      <c r="F71" s="283"/>
      <c r="G71" s="23"/>
      <c r="H71" s="74">
        <v>636</v>
      </c>
      <c r="I71" s="23"/>
      <c r="J71" s="23"/>
      <c r="K71" s="25">
        <v>0</v>
      </c>
      <c r="L71" s="23"/>
      <c r="M71" s="23"/>
      <c r="N71" s="44"/>
      <c r="O71" s="23"/>
      <c r="P71" s="66">
        <v>636</v>
      </c>
      <c r="Q71" s="23"/>
      <c r="R71" s="23"/>
      <c r="S71" s="44"/>
      <c r="U71" s="12"/>
      <c r="V71" s="12"/>
      <c r="W71" s="12"/>
    </row>
    <row r="72" spans="1:23" s="8" customFormat="1" x14ac:dyDescent="0.25">
      <c r="C72" s="8" t="s">
        <v>30</v>
      </c>
      <c r="E72" s="287"/>
      <c r="F72" s="283"/>
      <c r="G72" s="23"/>
      <c r="H72" s="67"/>
      <c r="I72" s="23"/>
      <c r="J72" s="23"/>
      <c r="K72" s="26">
        <v>0</v>
      </c>
      <c r="L72" s="23"/>
      <c r="M72" s="23"/>
      <c r="N72" s="44"/>
      <c r="O72" s="23"/>
      <c r="P72" s="67">
        <v>2056.5300000000002</v>
      </c>
      <c r="Q72" s="23"/>
      <c r="R72" s="23"/>
      <c r="S72" s="44"/>
      <c r="U72" s="12"/>
      <c r="V72" s="12"/>
      <c r="W72" s="12"/>
    </row>
    <row r="73" spans="1:23" s="8" customFormat="1" x14ac:dyDescent="0.25">
      <c r="E73" s="283"/>
      <c r="F73" s="283"/>
      <c r="G73" s="23"/>
      <c r="H73" s="40"/>
      <c r="I73" s="23"/>
      <c r="J73" s="23"/>
      <c r="K73" s="23"/>
      <c r="L73" s="23"/>
      <c r="M73" s="23"/>
      <c r="N73" s="46"/>
      <c r="O73" s="23"/>
      <c r="P73" s="40"/>
      <c r="Q73" s="23"/>
      <c r="R73" s="23"/>
      <c r="S73" s="24"/>
      <c r="U73" s="12"/>
      <c r="V73" s="12"/>
      <c r="W73" s="12"/>
    </row>
    <row r="74" spans="1:23" s="8" customFormat="1" x14ac:dyDescent="0.25">
      <c r="A74" s="4" t="s">
        <v>47</v>
      </c>
      <c r="E74" s="283"/>
      <c r="F74" s="274">
        <f>SUM(E40:E51)-SUM(E52:E73)</f>
        <v>5962.6399999999994</v>
      </c>
      <c r="G74" s="23"/>
      <c r="H74" s="40"/>
      <c r="I74" s="5">
        <f>SUM(H40:H51)-SUM(H52:H73)</f>
        <v>2605.6399999999994</v>
      </c>
      <c r="J74" s="23"/>
      <c r="K74" s="23"/>
      <c r="L74" s="5">
        <f>SUM(K40:K51)-SUM(K55:K73)</f>
        <v>2652</v>
      </c>
      <c r="M74" s="23"/>
      <c r="N74" s="46"/>
      <c r="O74" s="23"/>
      <c r="P74" s="40"/>
      <c r="Q74" s="5">
        <f>SUM(P40:P51)-SUM(P55:P73)</f>
        <v>26516.080000000002</v>
      </c>
      <c r="R74" s="23"/>
      <c r="S74" s="5">
        <f>SUM(P40:P51)-SUM(P55:P73)</f>
        <v>26516.080000000002</v>
      </c>
      <c r="U74" s="12"/>
      <c r="V74" s="12"/>
      <c r="W74" s="12"/>
    </row>
    <row r="75" spans="1:23" s="8" customFormat="1" x14ac:dyDescent="0.25">
      <c r="E75" s="283"/>
      <c r="F75" s="283"/>
      <c r="G75" s="23"/>
      <c r="H75" s="40"/>
      <c r="I75" s="23"/>
      <c r="J75" s="23"/>
      <c r="K75" s="23"/>
      <c r="L75" s="23"/>
      <c r="M75" s="23"/>
      <c r="N75" s="24"/>
      <c r="O75" s="23"/>
      <c r="P75" s="40"/>
      <c r="Q75" s="23"/>
      <c r="R75" s="23"/>
      <c r="S75" s="24"/>
      <c r="U75" s="12"/>
      <c r="V75" s="12"/>
      <c r="W75" s="12"/>
    </row>
    <row r="76" spans="1:23" s="8" customFormat="1" x14ac:dyDescent="0.25">
      <c r="A76" s="4" t="s">
        <v>46</v>
      </c>
      <c r="E76" s="283"/>
      <c r="F76" s="283"/>
      <c r="G76" s="23"/>
      <c r="H76" s="40"/>
      <c r="I76" s="23"/>
      <c r="J76" s="23"/>
      <c r="K76" s="23"/>
      <c r="L76" s="23"/>
      <c r="M76" s="23"/>
      <c r="N76" s="24"/>
      <c r="O76" s="23"/>
      <c r="P76" s="40"/>
      <c r="Q76" s="23"/>
      <c r="R76" s="23"/>
      <c r="S76" s="24"/>
      <c r="U76" s="12"/>
      <c r="V76" s="12"/>
      <c r="W76" s="12"/>
    </row>
    <row r="77" spans="1:23" s="8" customFormat="1" x14ac:dyDescent="0.25">
      <c r="B77" s="4" t="s">
        <v>19</v>
      </c>
      <c r="C77" s="4"/>
      <c r="D77" s="4"/>
      <c r="E77" s="274"/>
      <c r="F77" s="274"/>
      <c r="G77" s="5"/>
      <c r="H77" s="36"/>
      <c r="I77" s="5"/>
      <c r="J77" s="5"/>
      <c r="K77" s="5"/>
      <c r="L77" s="5"/>
      <c r="M77" s="5"/>
      <c r="N77" s="6"/>
      <c r="O77" s="5"/>
      <c r="P77" s="36"/>
      <c r="Q77" s="5"/>
      <c r="R77" s="5"/>
      <c r="S77" s="6"/>
      <c r="U77" s="12"/>
      <c r="V77" s="12"/>
      <c r="W77" s="12"/>
    </row>
    <row r="78" spans="1:23" s="8" customFormat="1" x14ac:dyDescent="0.25">
      <c r="C78" s="8" t="s">
        <v>6</v>
      </c>
      <c r="E78" s="276">
        <v>22500</v>
      </c>
      <c r="F78" s="276"/>
      <c r="G78" s="10"/>
      <c r="H78" s="37">
        <v>21150</v>
      </c>
      <c r="I78" s="10"/>
      <c r="J78" s="10"/>
      <c r="K78" s="10">
        <v>21150</v>
      </c>
      <c r="L78" s="10"/>
      <c r="M78" s="10"/>
      <c r="N78" s="44">
        <f>+E78-K78</f>
        <v>1350</v>
      </c>
      <c r="O78" s="10"/>
      <c r="P78" s="37">
        <v>0</v>
      </c>
      <c r="Q78" s="10"/>
      <c r="R78" s="10"/>
      <c r="S78" s="44">
        <f>+P78-P78</f>
        <v>0</v>
      </c>
      <c r="U78" s="12"/>
      <c r="V78" s="12"/>
      <c r="W78" s="12"/>
    </row>
    <row r="79" spans="1:23" s="8" customFormat="1" x14ac:dyDescent="0.25">
      <c r="C79" s="8" t="s">
        <v>7</v>
      </c>
      <c r="E79" s="279">
        <v>18275</v>
      </c>
      <c r="F79" s="276"/>
      <c r="G79" s="10"/>
      <c r="H79" s="39">
        <v>19000</v>
      </c>
      <c r="I79" s="10"/>
      <c r="J79" s="10"/>
      <c r="K79" s="13">
        <f>19000+300</f>
        <v>19300</v>
      </c>
      <c r="L79" s="10"/>
      <c r="M79" s="10"/>
      <c r="N79" s="45">
        <f>-E79+K79</f>
        <v>1025</v>
      </c>
      <c r="O79" s="10"/>
      <c r="P79" s="39">
        <v>0</v>
      </c>
      <c r="Q79" s="10"/>
      <c r="R79" s="10"/>
      <c r="S79" s="45">
        <f>+P79-P79</f>
        <v>0</v>
      </c>
      <c r="U79" s="12"/>
      <c r="V79" s="12"/>
      <c r="W79" s="12"/>
    </row>
    <row r="80" spans="1:23" s="8" customFormat="1" x14ac:dyDescent="0.25">
      <c r="E80" s="276"/>
      <c r="F80" s="276"/>
      <c r="G80" s="10"/>
      <c r="H80" s="37"/>
      <c r="I80" s="10"/>
      <c r="J80" s="10"/>
      <c r="K80" s="10"/>
      <c r="L80" s="10"/>
      <c r="M80" s="10"/>
      <c r="N80" s="11"/>
      <c r="O80" s="10"/>
      <c r="P80" s="37"/>
      <c r="Q80" s="10"/>
      <c r="R80" s="10"/>
      <c r="S80" s="11"/>
      <c r="U80" s="12"/>
      <c r="V80" s="12"/>
      <c r="W80" s="12"/>
    </row>
    <row r="81" spans="2:23" s="8" customFormat="1" x14ac:dyDescent="0.25">
      <c r="B81" s="4" t="s">
        <v>13</v>
      </c>
      <c r="C81" s="4"/>
      <c r="D81" s="4"/>
      <c r="E81" s="274"/>
      <c r="F81" s="274">
        <f>+E78-E79</f>
        <v>4225</v>
      </c>
      <c r="G81" s="5"/>
      <c r="H81" s="36"/>
      <c r="I81" s="5">
        <f>+H78-H79</f>
        <v>2150</v>
      </c>
      <c r="J81" s="5"/>
      <c r="K81" s="5"/>
      <c r="L81" s="5">
        <f>+K78-K79</f>
        <v>1850</v>
      </c>
      <c r="M81" s="5"/>
      <c r="N81" s="11">
        <f>SUM(N78:N80)</f>
        <v>2375</v>
      </c>
      <c r="O81" s="5"/>
      <c r="P81" s="36"/>
      <c r="Q81" s="5">
        <f>+P78-P79</f>
        <v>0</v>
      </c>
      <c r="R81" s="5"/>
      <c r="S81" s="11">
        <f>+F81-Q81</f>
        <v>4225</v>
      </c>
      <c r="U81" s="12"/>
      <c r="V81" s="12"/>
      <c r="W81" s="12"/>
    </row>
    <row r="82" spans="2:23" s="8" customFormat="1" x14ac:dyDescent="0.25">
      <c r="B82" s="4"/>
      <c r="C82" s="4"/>
      <c r="D82" s="4"/>
      <c r="E82" s="274"/>
      <c r="F82" s="274"/>
      <c r="G82" s="5"/>
      <c r="H82" s="36"/>
      <c r="I82" s="5"/>
      <c r="J82" s="5"/>
      <c r="K82" s="5"/>
      <c r="L82" s="5"/>
      <c r="M82" s="5"/>
      <c r="N82" s="11"/>
      <c r="O82" s="5"/>
      <c r="P82" s="36"/>
      <c r="Q82" s="5"/>
      <c r="R82" s="5"/>
      <c r="S82" s="11"/>
      <c r="U82" s="12"/>
      <c r="V82" s="12"/>
      <c r="W82" s="12"/>
    </row>
    <row r="83" spans="2:23" s="4" customFormat="1" x14ac:dyDescent="0.25">
      <c r="B83" s="4" t="s">
        <v>8</v>
      </c>
      <c r="E83" s="274"/>
      <c r="F83" s="274"/>
      <c r="G83" s="5"/>
      <c r="H83" s="36"/>
      <c r="I83" s="5"/>
      <c r="J83" s="5"/>
      <c r="K83" s="5"/>
      <c r="L83" s="5"/>
      <c r="M83" s="5"/>
      <c r="N83" s="6"/>
      <c r="O83" s="5"/>
      <c r="P83" s="36"/>
      <c r="Q83" s="5"/>
      <c r="R83" s="5"/>
      <c r="S83" s="6"/>
      <c r="U83" s="7"/>
      <c r="V83" s="7"/>
      <c r="W83" s="7"/>
    </row>
    <row r="84" spans="2:23" s="8" customFormat="1" x14ac:dyDescent="0.25">
      <c r="C84" s="8" t="s">
        <v>6</v>
      </c>
      <c r="E84" s="276">
        <v>21500</v>
      </c>
      <c r="F84" s="276"/>
      <c r="G84" s="10"/>
      <c r="H84" s="37">
        <v>19300</v>
      </c>
      <c r="I84" s="10"/>
      <c r="J84" s="10"/>
      <c r="K84" s="10">
        <v>0</v>
      </c>
      <c r="L84" s="10"/>
      <c r="M84" s="10"/>
      <c r="N84" s="44">
        <f>+E84-K84</f>
        <v>21500</v>
      </c>
      <c r="O84" s="10"/>
      <c r="P84" s="37">
        <v>2480</v>
      </c>
      <c r="Q84" s="10"/>
      <c r="R84" s="10"/>
      <c r="S84" s="44">
        <f>+P84-P84</f>
        <v>0</v>
      </c>
      <c r="U84" s="12"/>
      <c r="V84" s="12"/>
      <c r="W84" s="12"/>
    </row>
    <row r="85" spans="2:23" s="8" customFormat="1" x14ac:dyDescent="0.25">
      <c r="C85" s="8" t="s">
        <v>7</v>
      </c>
      <c r="E85" s="279">
        <v>18125</v>
      </c>
      <c r="F85" s="276"/>
      <c r="G85" s="10"/>
      <c r="H85" s="39">
        <v>15905</v>
      </c>
      <c r="I85" s="10"/>
      <c r="J85" s="10"/>
      <c r="K85" s="13">
        <v>0</v>
      </c>
      <c r="L85" s="10"/>
      <c r="M85" s="10"/>
      <c r="N85" s="45">
        <f>-E85+K85</f>
        <v>-18125</v>
      </c>
      <c r="O85" s="10"/>
      <c r="P85" s="39">
        <v>2108</v>
      </c>
      <c r="Q85" s="10"/>
      <c r="R85" s="10"/>
      <c r="S85" s="45">
        <f>+P85-P85</f>
        <v>0</v>
      </c>
      <c r="U85" s="12"/>
      <c r="V85" s="12"/>
      <c r="W85" s="12"/>
    </row>
    <row r="86" spans="2:23" s="8" customFormat="1" x14ac:dyDescent="0.25">
      <c r="E86" s="276"/>
      <c r="F86" s="276"/>
      <c r="G86" s="10"/>
      <c r="H86" s="37"/>
      <c r="I86" s="10"/>
      <c r="J86" s="10"/>
      <c r="K86" s="10"/>
      <c r="L86" s="10"/>
      <c r="M86" s="10"/>
      <c r="N86" s="11"/>
      <c r="O86" s="10"/>
      <c r="P86" s="37"/>
      <c r="Q86" s="10"/>
      <c r="R86" s="10"/>
      <c r="S86" s="11"/>
      <c r="U86" s="12"/>
      <c r="V86" s="12"/>
      <c r="W86" s="12"/>
    </row>
    <row r="87" spans="2:23" s="4" customFormat="1" x14ac:dyDescent="0.25">
      <c r="B87" s="4" t="s">
        <v>9</v>
      </c>
      <c r="E87" s="274"/>
      <c r="F87" s="274">
        <f>+E84-E85</f>
        <v>3375</v>
      </c>
      <c r="G87" s="5"/>
      <c r="H87" s="36"/>
      <c r="I87" s="5">
        <f>+H84-H85</f>
        <v>3395</v>
      </c>
      <c r="J87" s="5"/>
      <c r="K87" s="5"/>
      <c r="L87" s="5">
        <f>+K84-K85</f>
        <v>0</v>
      </c>
      <c r="M87" s="5"/>
      <c r="N87" s="11">
        <f>SUM(N84:N86)</f>
        <v>3375</v>
      </c>
      <c r="O87" s="5"/>
      <c r="P87" s="36"/>
      <c r="Q87" s="5">
        <f>+P84-P85</f>
        <v>372</v>
      </c>
      <c r="R87" s="5"/>
      <c r="S87" s="11">
        <f>+F87-Q87</f>
        <v>3003</v>
      </c>
      <c r="U87" s="7"/>
      <c r="V87" s="7"/>
      <c r="W87" s="7"/>
    </row>
    <row r="88" spans="2:23" s="8" customFormat="1" x14ac:dyDescent="0.25">
      <c r="E88" s="276"/>
      <c r="F88" s="276"/>
      <c r="G88" s="10"/>
      <c r="H88" s="37"/>
      <c r="I88" s="10"/>
      <c r="J88" s="10"/>
      <c r="K88" s="10"/>
      <c r="L88" s="10"/>
      <c r="M88" s="10"/>
      <c r="N88" s="11"/>
      <c r="O88" s="10"/>
      <c r="P88" s="37"/>
      <c r="Q88" s="10"/>
      <c r="R88" s="10"/>
      <c r="S88" s="11"/>
      <c r="U88" s="12"/>
      <c r="V88" s="12"/>
      <c r="W88" s="12"/>
    </row>
    <row r="89" spans="2:23" s="4" customFormat="1" x14ac:dyDescent="0.25">
      <c r="B89" s="4" t="s">
        <v>243</v>
      </c>
      <c r="E89" s="274"/>
      <c r="F89" s="274"/>
      <c r="G89" s="5"/>
      <c r="H89" s="36"/>
      <c r="I89" s="5"/>
      <c r="J89" s="5"/>
      <c r="K89" s="5"/>
      <c r="L89" s="5"/>
      <c r="M89" s="5"/>
      <c r="N89" s="6"/>
      <c r="O89" s="5"/>
      <c r="P89" s="36"/>
      <c r="Q89" s="5"/>
      <c r="R89" s="5"/>
      <c r="S89" s="6"/>
      <c r="U89" s="7"/>
      <c r="V89" s="7"/>
      <c r="W89" s="7"/>
    </row>
    <row r="90" spans="2:23" s="8" customFormat="1" x14ac:dyDescent="0.25">
      <c r="C90" s="8" t="s">
        <v>6</v>
      </c>
      <c r="E90" s="276">
        <v>4200</v>
      </c>
      <c r="F90" s="276"/>
      <c r="G90" s="10"/>
      <c r="H90" s="37">
        <v>0</v>
      </c>
      <c r="I90" s="10"/>
      <c r="J90" s="10"/>
      <c r="K90" s="10">
        <v>0</v>
      </c>
      <c r="L90" s="10"/>
      <c r="M90" s="10"/>
      <c r="N90" s="44">
        <f>+E90-K90</f>
        <v>4200</v>
      </c>
      <c r="O90" s="10"/>
      <c r="P90" s="37">
        <v>0</v>
      </c>
      <c r="Q90" s="10"/>
      <c r="R90" s="10"/>
      <c r="S90" s="44">
        <f>+P90-P90</f>
        <v>0</v>
      </c>
      <c r="U90" s="12"/>
      <c r="V90" s="12"/>
      <c r="W90" s="12"/>
    </row>
    <row r="91" spans="2:23" s="8" customFormat="1" x14ac:dyDescent="0.25">
      <c r="C91" s="8" t="s">
        <v>7</v>
      </c>
      <c r="E91" s="279">
        <v>3750</v>
      </c>
      <c r="F91" s="276"/>
      <c r="G91" s="10"/>
      <c r="H91" s="39">
        <v>0</v>
      </c>
      <c r="I91" s="10"/>
      <c r="J91" s="10"/>
      <c r="K91" s="13">
        <v>0</v>
      </c>
      <c r="L91" s="10"/>
      <c r="M91" s="10"/>
      <c r="N91" s="45">
        <f>-E91+K91</f>
        <v>-3750</v>
      </c>
      <c r="O91" s="10"/>
      <c r="P91" s="39">
        <v>0</v>
      </c>
      <c r="Q91" s="10"/>
      <c r="R91" s="10"/>
      <c r="S91" s="45">
        <f>+P91-P91</f>
        <v>0</v>
      </c>
      <c r="U91" s="12"/>
      <c r="V91" s="12"/>
      <c r="W91" s="12"/>
    </row>
    <row r="92" spans="2:23" s="8" customFormat="1" x14ac:dyDescent="0.25">
      <c r="E92" s="276"/>
      <c r="F92" s="276"/>
      <c r="G92" s="10"/>
      <c r="H92" s="37"/>
      <c r="I92" s="10"/>
      <c r="J92" s="10"/>
      <c r="K92" s="10"/>
      <c r="L92" s="10"/>
      <c r="M92" s="10"/>
      <c r="N92" s="11"/>
      <c r="O92" s="10"/>
      <c r="P92" s="37"/>
      <c r="Q92" s="10"/>
      <c r="R92" s="10"/>
      <c r="S92" s="11"/>
      <c r="U92" s="12"/>
      <c r="V92" s="12"/>
      <c r="W92" s="12"/>
    </row>
    <row r="93" spans="2:23" s="4" customFormat="1" x14ac:dyDescent="0.25">
      <c r="B93" s="4" t="s">
        <v>9</v>
      </c>
      <c r="E93" s="274"/>
      <c r="F93" s="274">
        <f>+E90-E91</f>
        <v>450</v>
      </c>
      <c r="G93" s="5"/>
      <c r="H93" s="36"/>
      <c r="I93" s="5">
        <f>+H90-H91</f>
        <v>0</v>
      </c>
      <c r="J93" s="5"/>
      <c r="K93" s="5"/>
      <c r="L93" s="5">
        <f>+K90-K91</f>
        <v>0</v>
      </c>
      <c r="M93" s="5"/>
      <c r="N93" s="11">
        <f>SUM(N90:N92)</f>
        <v>450</v>
      </c>
      <c r="O93" s="5"/>
      <c r="P93" s="36"/>
      <c r="Q93" s="5">
        <f>+P90-P91</f>
        <v>0</v>
      </c>
      <c r="R93" s="5"/>
      <c r="S93" s="11">
        <f>+I93-Q93</f>
        <v>0</v>
      </c>
      <c r="U93" s="7"/>
      <c r="V93" s="7"/>
      <c r="W93" s="7"/>
    </row>
    <row r="94" spans="2:23" s="8" customFormat="1" x14ac:dyDescent="0.25">
      <c r="E94" s="276"/>
      <c r="F94" s="276"/>
      <c r="G94" s="10"/>
      <c r="H94" s="37"/>
      <c r="I94" s="10"/>
      <c r="J94" s="10"/>
      <c r="K94" s="10"/>
      <c r="L94" s="10"/>
      <c r="M94" s="10"/>
      <c r="N94" s="11"/>
      <c r="O94" s="10"/>
      <c r="P94" s="37"/>
      <c r="Q94" s="10"/>
      <c r="R94" s="10"/>
      <c r="S94" s="11"/>
      <c r="U94" s="12"/>
      <c r="V94" s="12"/>
      <c r="W94" s="12"/>
    </row>
    <row r="95" spans="2:23" s="4" customFormat="1" x14ac:dyDescent="0.25">
      <c r="B95" s="4" t="s">
        <v>17</v>
      </c>
      <c r="E95" s="276">
        <v>5300</v>
      </c>
      <c r="F95" s="274"/>
      <c r="G95" s="5"/>
      <c r="H95" s="37">
        <v>4000</v>
      </c>
      <c r="I95" s="5"/>
      <c r="J95" s="5"/>
      <c r="K95" s="5"/>
      <c r="L95" s="5"/>
      <c r="M95" s="5"/>
      <c r="N95" s="6"/>
      <c r="O95" s="5"/>
      <c r="P95" s="36"/>
      <c r="Q95" s="5"/>
      <c r="R95" s="5"/>
      <c r="S95" s="6"/>
      <c r="U95" s="7"/>
      <c r="V95" s="7"/>
      <c r="W95" s="7"/>
    </row>
    <row r="96" spans="2:23" s="8" customFormat="1" x14ac:dyDescent="0.25">
      <c r="C96" s="8" t="s">
        <v>63</v>
      </c>
      <c r="E96" s="276">
        <v>3900</v>
      </c>
      <c r="F96" s="276"/>
      <c r="G96" s="10"/>
      <c r="H96" s="37">
        <v>2125</v>
      </c>
      <c r="I96" s="10"/>
      <c r="J96" s="10"/>
      <c r="K96" s="10">
        <f>5350/2+1375</f>
        <v>4050</v>
      </c>
      <c r="L96" s="10"/>
      <c r="M96" s="10"/>
      <c r="N96" s="44">
        <f>+E96-K96</f>
        <v>-150</v>
      </c>
      <c r="O96" s="10"/>
      <c r="P96" s="37">
        <v>2775</v>
      </c>
      <c r="Q96" s="10"/>
      <c r="R96" s="10"/>
      <c r="S96" s="44">
        <f>+P96-P96</f>
        <v>0</v>
      </c>
      <c r="U96" s="12"/>
      <c r="V96" s="12"/>
      <c r="W96" s="12"/>
    </row>
    <row r="97" spans="1:23" s="8" customFormat="1" x14ac:dyDescent="0.25">
      <c r="C97" s="8" t="s">
        <v>64</v>
      </c>
      <c r="E97" s="276"/>
      <c r="F97" s="276"/>
      <c r="G97" s="10"/>
      <c r="H97" s="37">
        <v>1000</v>
      </c>
      <c r="I97" s="10"/>
      <c r="J97" s="10"/>
      <c r="K97" s="10">
        <v>0</v>
      </c>
      <c r="L97" s="10"/>
      <c r="M97" s="10"/>
      <c r="N97" s="44">
        <f>+E97-K97</f>
        <v>0</v>
      </c>
      <c r="O97" s="10"/>
      <c r="P97" s="37">
        <v>600</v>
      </c>
      <c r="Q97" s="10"/>
      <c r="R97" s="10"/>
      <c r="S97" s="44">
        <f>+P97-P97</f>
        <v>0</v>
      </c>
      <c r="U97" s="12"/>
      <c r="V97" s="12"/>
      <c r="W97" s="12"/>
    </row>
    <row r="98" spans="1:23" s="8" customFormat="1" x14ac:dyDescent="0.25">
      <c r="C98" s="8" t="s">
        <v>7</v>
      </c>
      <c r="E98" s="279">
        <f>2400+800+2675</f>
        <v>5875</v>
      </c>
      <c r="F98" s="276"/>
      <c r="G98" s="10"/>
      <c r="H98" s="39">
        <f>555+2500+200+200+3057</f>
        <v>6512</v>
      </c>
      <c r="I98" s="10"/>
      <c r="J98" s="10"/>
      <c r="K98" s="13">
        <f>310*3+100</f>
        <v>1030</v>
      </c>
      <c r="L98" s="10"/>
      <c r="M98" s="10"/>
      <c r="N98" s="45">
        <f>-E98+K98</f>
        <v>-4845</v>
      </c>
      <c r="O98" s="10"/>
      <c r="P98" s="39">
        <f>44.36+574.65+79.12</f>
        <v>698.13</v>
      </c>
      <c r="Q98" s="10"/>
      <c r="R98" s="10"/>
      <c r="S98" s="45">
        <f>+P98-P98</f>
        <v>0</v>
      </c>
      <c r="U98" s="12"/>
      <c r="V98" s="12"/>
      <c r="W98" s="12"/>
    </row>
    <row r="99" spans="1:23" s="8" customFormat="1" x14ac:dyDescent="0.25">
      <c r="E99" s="276"/>
      <c r="F99" s="276"/>
      <c r="G99" s="10"/>
      <c r="H99" s="37"/>
      <c r="I99" s="10"/>
      <c r="J99" s="10"/>
      <c r="K99" s="10"/>
      <c r="L99" s="10"/>
      <c r="M99" s="10"/>
      <c r="N99" s="11"/>
      <c r="O99" s="10"/>
      <c r="P99" s="37"/>
      <c r="Q99" s="10"/>
      <c r="R99" s="10"/>
      <c r="S99" s="11"/>
      <c r="U99" s="12"/>
      <c r="V99" s="12"/>
      <c r="W99" s="12"/>
    </row>
    <row r="100" spans="1:23" s="4" customFormat="1" x14ac:dyDescent="0.25">
      <c r="B100" s="4" t="s">
        <v>9</v>
      </c>
      <c r="E100" s="274"/>
      <c r="F100" s="288">
        <f>SUM(E95:E97)-E98</f>
        <v>3325</v>
      </c>
      <c r="G100" s="5"/>
      <c r="H100" s="36"/>
      <c r="I100" s="27">
        <f>SUM(H95:H97)-H98</f>
        <v>613</v>
      </c>
      <c r="J100" s="5"/>
      <c r="K100" s="5"/>
      <c r="L100" s="27">
        <f>SUM(K96:K97)-K98</f>
        <v>3020</v>
      </c>
      <c r="M100" s="5"/>
      <c r="N100" s="14">
        <f>SUM(N96:N99)</f>
        <v>-4995</v>
      </c>
      <c r="O100" s="5"/>
      <c r="P100" s="36"/>
      <c r="Q100" s="27">
        <f>SUM(P96:P97)-P98</f>
        <v>2676.87</v>
      </c>
      <c r="R100" s="5"/>
      <c r="S100" s="14">
        <f>+F100-Q100</f>
        <v>648.13000000000011</v>
      </c>
      <c r="U100" s="7"/>
      <c r="V100" s="7"/>
      <c r="W100" s="7"/>
    </row>
    <row r="101" spans="1:23" s="8" customFormat="1" x14ac:dyDescent="0.25">
      <c r="E101" s="276"/>
      <c r="F101" s="276"/>
      <c r="G101" s="10"/>
      <c r="H101" s="37"/>
      <c r="I101" s="10"/>
      <c r="J101" s="10"/>
      <c r="K101" s="10"/>
      <c r="L101" s="10"/>
      <c r="M101" s="10"/>
      <c r="N101" s="11"/>
      <c r="O101" s="10"/>
      <c r="P101" s="37"/>
      <c r="Q101" s="10"/>
      <c r="R101" s="10"/>
      <c r="S101" s="11"/>
      <c r="U101" s="12"/>
      <c r="V101" s="12"/>
      <c r="W101" s="12"/>
    </row>
    <row r="102" spans="1:23" s="4" customFormat="1" ht="15.75" thickBot="1" x14ac:dyDescent="0.3">
      <c r="A102" s="4" t="s">
        <v>57</v>
      </c>
      <c r="E102" s="274"/>
      <c r="F102" s="289">
        <f>SUM(F36:F101)</f>
        <v>-6921</v>
      </c>
      <c r="G102" s="15"/>
      <c r="H102" s="36"/>
      <c r="I102" s="28">
        <f>SUM(I36:I101)</f>
        <v>-16092.36</v>
      </c>
      <c r="J102" s="15"/>
      <c r="K102" s="15"/>
      <c r="L102" s="28">
        <f>SUM(L36:L101)-1</f>
        <v>326</v>
      </c>
      <c r="M102" s="15"/>
      <c r="N102" s="29">
        <f>+I102-L102</f>
        <v>-16418.36</v>
      </c>
      <c r="O102" s="15"/>
      <c r="P102" s="36"/>
      <c r="Q102" s="28">
        <f>SUM(Q36:Q101)</f>
        <v>29564.95</v>
      </c>
      <c r="R102" s="15"/>
      <c r="S102" s="29">
        <f>+I102-Q102</f>
        <v>-45657.31</v>
      </c>
      <c r="U102" s="7"/>
      <c r="V102" s="7"/>
      <c r="W102" s="7"/>
    </row>
    <row r="103" spans="1:23" s="8" customFormat="1" ht="15.75" thickTop="1" x14ac:dyDescent="0.25">
      <c r="E103" s="276"/>
      <c r="F103" s="276"/>
      <c r="G103" s="10"/>
      <c r="H103" s="37"/>
      <c r="I103" s="10"/>
      <c r="J103" s="10"/>
      <c r="K103" s="10"/>
      <c r="L103" s="10"/>
      <c r="M103" s="10"/>
      <c r="N103" s="11"/>
      <c r="O103" s="10"/>
      <c r="P103" s="37"/>
      <c r="Q103" s="10"/>
      <c r="R103" s="10"/>
      <c r="S103" s="11"/>
      <c r="U103" s="12"/>
      <c r="V103" s="12"/>
      <c r="W103" s="12"/>
    </row>
    <row r="104" spans="1:23" s="8" customFormat="1" x14ac:dyDescent="0.25">
      <c r="E104" s="290" t="s">
        <v>477</v>
      </c>
      <c r="F104" s="290">
        <v>-7000</v>
      </c>
      <c r="G104" s="11"/>
      <c r="H104" s="44" t="s">
        <v>478</v>
      </c>
      <c r="I104" s="11">
        <v>-2461</v>
      </c>
      <c r="J104" s="11"/>
      <c r="K104" s="11" t="s">
        <v>55</v>
      </c>
      <c r="L104" s="11">
        <v>326</v>
      </c>
      <c r="M104" s="10"/>
      <c r="N104" s="11"/>
      <c r="O104" s="10"/>
      <c r="P104" s="44" t="s">
        <v>43</v>
      </c>
      <c r="Q104" s="11">
        <v>29565.21</v>
      </c>
      <c r="R104" s="10"/>
      <c r="S104" s="11"/>
      <c r="U104" s="12"/>
      <c r="V104" s="12"/>
      <c r="W104" s="12"/>
    </row>
    <row r="105" spans="1:23" s="8" customFormat="1" x14ac:dyDescent="0.25">
      <c r="E105" s="290"/>
      <c r="F105" s="290"/>
      <c r="G105" s="11"/>
      <c r="H105" s="44"/>
      <c r="I105" s="11"/>
      <c r="J105" s="11"/>
      <c r="K105" s="11"/>
      <c r="L105" s="11"/>
      <c r="M105" s="10"/>
      <c r="N105" s="11"/>
      <c r="O105" s="10"/>
      <c r="P105" s="44"/>
      <c r="Q105" s="11"/>
      <c r="R105" s="10"/>
      <c r="S105" s="11"/>
      <c r="U105" s="12"/>
      <c r="V105" s="12"/>
      <c r="W105" s="12"/>
    </row>
    <row r="106" spans="1:23" s="8" customFormat="1" x14ac:dyDescent="0.25">
      <c r="E106" s="294" t="s">
        <v>475</v>
      </c>
      <c r="F106" s="290">
        <f>+F102-F104</f>
        <v>79</v>
      </c>
      <c r="G106" s="11"/>
      <c r="H106" s="68"/>
      <c r="I106" s="11">
        <f>+I102-I104</f>
        <v>-13631.36</v>
      </c>
      <c r="J106" s="11"/>
      <c r="K106" s="11" t="s">
        <v>56</v>
      </c>
      <c r="L106" s="11">
        <f>+L102-L104</f>
        <v>0</v>
      </c>
      <c r="M106" s="10"/>
      <c r="N106" s="11"/>
      <c r="O106" s="10"/>
      <c r="P106" s="68"/>
      <c r="Q106" s="11">
        <f>+Q102-Q104</f>
        <v>-0.25999999999839929</v>
      </c>
      <c r="R106" s="10"/>
      <c r="S106" s="11"/>
      <c r="U106" s="12"/>
      <c r="V106" s="12"/>
      <c r="W106" s="12"/>
    </row>
    <row r="108" spans="1:23" x14ac:dyDescent="0.25">
      <c r="C108" s="33" t="s">
        <v>474</v>
      </c>
    </row>
    <row r="109" spans="1:23" s="33" customFormat="1" ht="12" x14ac:dyDescent="0.2">
      <c r="D109" s="33" t="s">
        <v>81</v>
      </c>
      <c r="E109" s="291">
        <f>+F16+E40+E78+E84+E90+E95+E96</f>
        <v>121000</v>
      </c>
      <c r="F109" s="291"/>
      <c r="G109" s="32"/>
      <c r="H109" s="70">
        <f>+H10+H12+H40+H78+H84+H95+H96+H97</f>
        <v>77014</v>
      </c>
      <c r="I109" s="32"/>
      <c r="J109" s="32"/>
      <c r="K109" s="32"/>
      <c r="L109" s="32"/>
      <c r="M109" s="32"/>
      <c r="N109" s="32"/>
      <c r="O109" s="32"/>
      <c r="P109" s="70"/>
      <c r="Q109" s="32"/>
      <c r="R109" s="32"/>
      <c r="S109" s="32"/>
    </row>
    <row r="110" spans="1:23" s="33" customFormat="1" ht="12" x14ac:dyDescent="0.2">
      <c r="E110" s="291"/>
      <c r="F110" s="291"/>
      <c r="G110" s="32"/>
      <c r="H110" s="70"/>
      <c r="I110" s="32"/>
      <c r="J110" s="32"/>
      <c r="K110" s="32"/>
      <c r="L110" s="32"/>
      <c r="M110" s="32"/>
      <c r="N110" s="32"/>
      <c r="O110" s="32"/>
      <c r="P110" s="70"/>
      <c r="Q110" s="32"/>
      <c r="R110" s="32"/>
      <c r="S110" s="32"/>
    </row>
    <row r="111" spans="1:23" s="33" customFormat="1" ht="12" x14ac:dyDescent="0.2">
      <c r="D111" s="33" t="s">
        <v>479</v>
      </c>
      <c r="E111" s="292">
        <v>121000</v>
      </c>
      <c r="F111" s="291"/>
      <c r="G111" s="32"/>
      <c r="H111" s="71">
        <v>87414</v>
      </c>
      <c r="I111" s="32"/>
      <c r="J111" s="32"/>
      <c r="K111" s="32"/>
      <c r="L111" s="32"/>
      <c r="M111" s="32"/>
      <c r="N111" s="32"/>
      <c r="O111" s="32"/>
      <c r="P111" s="70"/>
      <c r="Q111" s="32"/>
      <c r="R111" s="32"/>
      <c r="S111" s="32"/>
    </row>
    <row r="112" spans="1:23" s="33" customFormat="1" ht="12" x14ac:dyDescent="0.2">
      <c r="E112" s="291"/>
      <c r="F112" s="291"/>
      <c r="G112" s="32"/>
      <c r="H112" s="70"/>
      <c r="I112" s="32"/>
      <c r="J112" s="32"/>
      <c r="K112" s="32"/>
      <c r="L112" s="32"/>
      <c r="M112" s="32"/>
      <c r="N112" s="32"/>
      <c r="O112" s="32"/>
      <c r="P112" s="70"/>
      <c r="Q112" s="32"/>
      <c r="R112" s="32"/>
      <c r="S112" s="32"/>
    </row>
    <row r="113" spans="4:19" s="33" customFormat="1" ht="12" x14ac:dyDescent="0.2">
      <c r="D113" s="33" t="s">
        <v>2</v>
      </c>
      <c r="E113" s="291">
        <f>+E109-E111</f>
        <v>0</v>
      </c>
      <c r="F113" s="291"/>
      <c r="G113" s="32"/>
      <c r="H113" s="70">
        <f>+H109-H111</f>
        <v>-10400</v>
      </c>
      <c r="I113" s="32"/>
      <c r="J113" s="32"/>
      <c r="K113" s="32"/>
      <c r="L113" s="32"/>
      <c r="M113" s="32"/>
      <c r="N113" s="32"/>
      <c r="O113" s="32"/>
      <c r="P113" s="70"/>
      <c r="Q113" s="32"/>
      <c r="R113" s="32"/>
      <c r="S113" s="32"/>
    </row>
    <row r="114" spans="4:19" s="33" customFormat="1" ht="12" x14ac:dyDescent="0.2">
      <c r="E114" s="291"/>
      <c r="F114" s="291"/>
      <c r="G114" s="32"/>
      <c r="H114" s="70"/>
      <c r="I114" s="32"/>
      <c r="J114" s="32"/>
      <c r="K114" s="32"/>
      <c r="L114" s="32"/>
      <c r="M114" s="32"/>
      <c r="N114" s="32"/>
      <c r="O114" s="32"/>
      <c r="P114" s="70"/>
      <c r="Q114" s="32"/>
      <c r="R114" s="32"/>
      <c r="S114" s="32"/>
    </row>
    <row r="115" spans="4:19" s="33" customFormat="1" ht="12" x14ac:dyDescent="0.2">
      <c r="D115" s="33" t="s">
        <v>82</v>
      </c>
      <c r="E115" s="293">
        <f>+F35+SUM(E53:E72)+E79+E85+E91+E98</f>
        <v>127921</v>
      </c>
      <c r="F115" s="291"/>
      <c r="G115" s="32"/>
      <c r="H115" s="70">
        <f>SUM(H19:H33,H52,H79,H85,H98)</f>
        <v>98071</v>
      </c>
      <c r="I115" s="32"/>
      <c r="J115" s="32"/>
      <c r="K115" s="32"/>
      <c r="L115" s="32"/>
      <c r="M115" s="32"/>
      <c r="N115" s="32"/>
      <c r="O115" s="32"/>
      <c r="P115" s="70"/>
      <c r="Q115" s="32"/>
      <c r="R115" s="32"/>
      <c r="S115" s="32"/>
    </row>
    <row r="116" spans="4:19" s="33" customFormat="1" ht="12" x14ac:dyDescent="0.2">
      <c r="E116" s="291"/>
      <c r="F116" s="291"/>
      <c r="G116" s="32"/>
      <c r="H116" s="70"/>
      <c r="I116" s="32"/>
      <c r="J116" s="32"/>
      <c r="K116" s="32"/>
      <c r="L116" s="32"/>
      <c r="M116" s="32"/>
      <c r="N116" s="32"/>
      <c r="O116" s="32"/>
      <c r="P116" s="70"/>
      <c r="Q116" s="32"/>
      <c r="R116" s="32"/>
      <c r="S116" s="32"/>
    </row>
    <row r="117" spans="4:19" s="33" customFormat="1" ht="12" x14ac:dyDescent="0.2">
      <c r="D117" s="33" t="s">
        <v>479</v>
      </c>
      <c r="E117" s="292">
        <f>120700+7300</f>
        <v>128000</v>
      </c>
      <c r="F117" s="291"/>
      <c r="G117" s="32"/>
      <c r="H117" s="71">
        <v>89875</v>
      </c>
      <c r="I117" s="32"/>
      <c r="J117" s="32"/>
      <c r="K117" s="32"/>
      <c r="L117" s="32"/>
      <c r="M117" s="32"/>
      <c r="N117" s="32"/>
      <c r="O117" s="32"/>
      <c r="P117" s="70"/>
      <c r="Q117" s="32"/>
      <c r="R117" s="32"/>
      <c r="S117" s="32"/>
    </row>
    <row r="118" spans="4:19" s="33" customFormat="1" ht="12" x14ac:dyDescent="0.2">
      <c r="E118" s="291"/>
      <c r="F118" s="291"/>
      <c r="G118" s="32"/>
      <c r="H118" s="70"/>
      <c r="I118" s="32"/>
      <c r="J118" s="32"/>
      <c r="K118" s="32"/>
      <c r="L118" s="32"/>
      <c r="M118" s="32"/>
      <c r="N118" s="32"/>
      <c r="O118" s="32"/>
      <c r="P118" s="70"/>
      <c r="Q118" s="32"/>
      <c r="R118" s="32"/>
      <c r="S118" s="32"/>
    </row>
    <row r="119" spans="4:19" s="33" customFormat="1" ht="12" x14ac:dyDescent="0.2">
      <c r="D119" s="33" t="s">
        <v>2</v>
      </c>
      <c r="E119" s="291">
        <f>+E115-E117</f>
        <v>-79</v>
      </c>
      <c r="F119" s="291"/>
      <c r="G119" s="32"/>
      <c r="H119" s="70">
        <f>+H115-H117</f>
        <v>8196</v>
      </c>
      <c r="I119" s="32"/>
      <c r="J119" s="32"/>
      <c r="K119" s="32"/>
      <c r="L119" s="32"/>
      <c r="M119" s="32"/>
      <c r="N119" s="32"/>
      <c r="O119" s="32"/>
      <c r="P119" s="70"/>
      <c r="Q119" s="32"/>
      <c r="R119" s="32"/>
      <c r="S119" s="32"/>
    </row>
    <row r="121" spans="4:19" x14ac:dyDescent="0.25">
      <c r="E121" s="291"/>
      <c r="H121" s="70"/>
    </row>
  </sheetData>
  <mergeCells count="5">
    <mergeCell ref="K6:L6"/>
    <mergeCell ref="H7:I7"/>
    <mergeCell ref="K7:L7"/>
    <mergeCell ref="P7:Q7"/>
    <mergeCell ref="E7:F7"/>
  </mergeCells>
  <printOptions horizontalCentered="1"/>
  <pageMargins left="0.7" right="0.7" top="0.75" bottom="0.75" header="0.3" footer="0.3"/>
  <pageSetup scale="89" fitToHeight="0" orientation="landscape" r:id="rId1"/>
  <rowBreaks count="2" manualBreakCount="2">
    <brk id="38" max="18" man="1"/>
    <brk id="70" max="1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18AFA-D2B1-4699-8C9C-1D1CD0724FB0}">
  <sheetPr>
    <outlinePr summaryBelow="0" summaryRight="0"/>
  </sheetPr>
  <dimension ref="A1:R404"/>
  <sheetViews>
    <sheetView showGridLines="0" tabSelected="1" zoomScale="145" zoomScaleNormal="145" workbookViewId="0">
      <selection activeCell="Q29" sqref="Q29"/>
    </sheetView>
  </sheetViews>
  <sheetFormatPr defaultColWidth="12.5703125" defaultRowHeight="15.75" customHeight="1" outlineLevelRow="1" outlineLevelCol="1" x14ac:dyDescent="0.2"/>
  <cols>
    <col min="1" max="1" width="3.28515625" style="79" customWidth="1"/>
    <col min="2" max="3" width="2.28515625" style="79" customWidth="1"/>
    <col min="4" max="4" width="16.42578125" style="79" customWidth="1"/>
    <col min="5" max="5" width="8.28515625" style="108" customWidth="1"/>
    <col min="6" max="6" width="10.5703125" style="108" customWidth="1"/>
    <col min="7" max="7" width="11.5703125" style="79" customWidth="1" collapsed="1"/>
    <col min="8" max="13" width="9" style="79" hidden="1" customWidth="1" outlineLevel="1"/>
    <col min="14" max="14" width="2" style="79" customWidth="1" collapsed="1"/>
    <col min="15" max="15" width="7.5703125" style="79" hidden="1" customWidth="1" outlineLevel="1"/>
    <col min="16" max="16" width="65.7109375" style="79" hidden="1" customWidth="1" outlineLevel="1"/>
    <col min="17" max="17" width="31.5703125" style="79" customWidth="1"/>
    <col min="18" max="18" width="30.140625" style="79" customWidth="1"/>
    <col min="19" max="16384" width="12.5703125" style="79"/>
  </cols>
  <sheetData>
    <row r="1" spans="1:18" ht="12.75" x14ac:dyDescent="0.2">
      <c r="A1" s="181" t="s">
        <v>247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</row>
    <row r="2" spans="1:18" ht="12.75" collapsed="1" x14ac:dyDescent="0.2">
      <c r="A2" s="182">
        <v>1</v>
      </c>
      <c r="B2" s="183" t="s">
        <v>248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</row>
    <row r="3" spans="1:18" ht="12.75" hidden="1" outlineLevel="1" x14ac:dyDescent="0.2">
      <c r="A3" s="182">
        <v>2</v>
      </c>
      <c r="B3" s="183" t="s">
        <v>249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</row>
    <row r="4" spans="1:18" ht="12.75" hidden="1" outlineLevel="1" x14ac:dyDescent="0.2">
      <c r="A4" s="182">
        <v>3</v>
      </c>
      <c r="B4" s="183" t="s">
        <v>250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</row>
    <row r="5" spans="1:18" ht="12.75" hidden="1" outlineLevel="1" x14ac:dyDescent="0.2">
      <c r="A5" s="182">
        <v>4</v>
      </c>
      <c r="B5" s="183" t="s">
        <v>251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</row>
    <row r="6" spans="1:18" ht="12.75" hidden="1" outlineLevel="1" x14ac:dyDescent="0.2">
      <c r="A6" s="182">
        <v>5</v>
      </c>
      <c r="B6" s="183" t="s">
        <v>252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</row>
    <row r="7" spans="1:18" ht="12.75" hidden="1" outlineLevel="1" x14ac:dyDescent="0.2">
      <c r="A7" s="182">
        <v>6</v>
      </c>
      <c r="B7" s="183" t="s">
        <v>253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</row>
    <row r="8" spans="1:18" ht="12.75" hidden="1" outlineLevel="1" x14ac:dyDescent="0.2">
      <c r="A8" s="182">
        <v>7</v>
      </c>
      <c r="B8" s="183" t="s">
        <v>254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</row>
    <row r="9" spans="1:18" ht="12.75" hidden="1" outlineLevel="1" x14ac:dyDescent="0.2">
      <c r="A9" s="182">
        <v>8</v>
      </c>
      <c r="B9" s="183" t="s">
        <v>255</v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</row>
    <row r="10" spans="1:18" ht="12.75" hidden="1" outlineLevel="1" x14ac:dyDescent="0.2">
      <c r="A10" s="182">
        <v>9</v>
      </c>
      <c r="B10" s="183" t="s">
        <v>256</v>
      </c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</row>
    <row r="11" spans="1:18" ht="12.75" hidden="1" outlineLevel="1" x14ac:dyDescent="0.2">
      <c r="A11" s="182">
        <v>10</v>
      </c>
      <c r="B11" s="183" t="s">
        <v>257</v>
      </c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</row>
    <row r="12" spans="1:18" ht="12.75" hidden="1" outlineLevel="1" x14ac:dyDescent="0.2">
      <c r="A12" s="182">
        <v>11</v>
      </c>
      <c r="B12" s="183" t="s">
        <v>258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</row>
    <row r="13" spans="1:18" ht="12.75" hidden="1" outlineLevel="1" x14ac:dyDescent="0.2">
      <c r="A13" s="182">
        <v>12</v>
      </c>
      <c r="B13" s="183" t="s">
        <v>259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</row>
    <row r="14" spans="1:18" ht="12.75" hidden="1" outlineLevel="1" x14ac:dyDescent="0.2">
      <c r="A14" s="182">
        <v>13</v>
      </c>
      <c r="B14" s="183" t="s">
        <v>260</v>
      </c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</row>
    <row r="15" spans="1:18" ht="12.75" hidden="1" outlineLevel="1" x14ac:dyDescent="0.2">
      <c r="A15" s="182">
        <v>14</v>
      </c>
      <c r="B15" s="183" t="s">
        <v>261</v>
      </c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</row>
    <row r="16" spans="1:18" ht="12.75" hidden="1" outlineLevel="1" x14ac:dyDescent="0.2">
      <c r="A16" s="182">
        <v>15</v>
      </c>
      <c r="B16" s="183" t="s">
        <v>262</v>
      </c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</row>
    <row r="17" spans="1:18" ht="12.75" x14ac:dyDescent="0.2">
      <c r="A17" s="182"/>
      <c r="B17" s="184"/>
      <c r="C17" s="184"/>
      <c r="D17" s="184"/>
      <c r="E17" s="295"/>
      <c r="F17" s="295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</row>
    <row r="18" spans="1:18" ht="12.75" x14ac:dyDescent="0.2">
      <c r="A18" s="185" t="s">
        <v>263</v>
      </c>
      <c r="B18" s="185"/>
      <c r="C18" s="185"/>
      <c r="D18" s="185"/>
      <c r="E18" s="296"/>
      <c r="F18" s="297"/>
      <c r="G18" s="188"/>
      <c r="H18" s="189"/>
      <c r="I18" s="189"/>
      <c r="J18" s="189"/>
      <c r="K18" s="189"/>
      <c r="L18" s="189"/>
      <c r="M18" s="189"/>
      <c r="N18" s="99"/>
      <c r="O18" s="99"/>
      <c r="P18" s="99"/>
      <c r="R18" s="190"/>
    </row>
    <row r="19" spans="1:18" ht="12.75" x14ac:dyDescent="0.2">
      <c r="A19" s="185"/>
      <c r="B19" s="191"/>
      <c r="C19" s="191"/>
      <c r="D19" s="191"/>
      <c r="F19" s="298" t="s">
        <v>264</v>
      </c>
      <c r="G19" s="192" t="s">
        <v>265</v>
      </c>
      <c r="H19" s="189"/>
      <c r="I19" s="189"/>
      <c r="J19" s="189"/>
      <c r="K19" s="189"/>
      <c r="L19" s="189"/>
      <c r="M19" s="189"/>
      <c r="N19" s="99"/>
      <c r="O19" s="99"/>
      <c r="P19" s="99"/>
      <c r="R19" s="190"/>
    </row>
    <row r="20" spans="1:18" ht="12.75" x14ac:dyDescent="0.2">
      <c r="A20" s="185"/>
      <c r="B20" s="193" t="s">
        <v>81</v>
      </c>
      <c r="C20" s="193"/>
      <c r="D20" s="193"/>
      <c r="E20" s="299"/>
      <c r="F20" s="300">
        <f t="shared" ref="F20:G20" si="0">F59</f>
        <v>121000</v>
      </c>
      <c r="G20" s="194">
        <f t="shared" si="0"/>
        <v>110533</v>
      </c>
      <c r="H20" s="189"/>
      <c r="I20" s="189"/>
      <c r="J20" s="189"/>
      <c r="K20" s="189"/>
      <c r="L20" s="189"/>
      <c r="M20" s="189"/>
      <c r="N20" s="99"/>
      <c r="O20" s="99"/>
      <c r="P20" s="99"/>
      <c r="R20" s="190"/>
    </row>
    <row r="21" spans="1:18" ht="12.75" x14ac:dyDescent="0.2">
      <c r="A21" s="185"/>
      <c r="B21" s="195" t="s">
        <v>266</v>
      </c>
      <c r="C21" s="195"/>
      <c r="D21" s="195"/>
      <c r="E21" s="299"/>
      <c r="F21" s="301">
        <f t="shared" ref="F21:G21" si="1">F82</f>
        <v>76300</v>
      </c>
      <c r="G21" s="196">
        <f t="shared" si="1"/>
        <v>61845.65</v>
      </c>
      <c r="H21" s="189"/>
      <c r="I21" s="189"/>
      <c r="J21" s="189"/>
      <c r="K21" s="189"/>
      <c r="L21" s="189"/>
      <c r="M21" s="189"/>
      <c r="N21" s="99"/>
      <c r="O21" s="99"/>
      <c r="P21" s="99"/>
      <c r="R21" s="190"/>
    </row>
    <row r="22" spans="1:18" ht="12.75" x14ac:dyDescent="0.2">
      <c r="A22" s="185"/>
      <c r="B22" s="195" t="s">
        <v>267</v>
      </c>
      <c r="C22" s="195"/>
      <c r="D22" s="195"/>
      <c r="E22" s="299"/>
      <c r="F22" s="301">
        <f t="shared" ref="F22:G22" si="2">F130</f>
        <v>42600</v>
      </c>
      <c r="G22" s="196">
        <f t="shared" si="2"/>
        <v>12350.470000000001</v>
      </c>
      <c r="H22" s="189"/>
      <c r="I22" s="189"/>
      <c r="J22" s="189"/>
      <c r="K22" s="189"/>
      <c r="L22" s="189"/>
      <c r="M22" s="189"/>
      <c r="N22" s="99"/>
      <c r="O22" s="99"/>
      <c r="P22" s="99"/>
      <c r="R22" s="190"/>
    </row>
    <row r="23" spans="1:18" ht="12.75" x14ac:dyDescent="0.2">
      <c r="A23" s="185"/>
      <c r="B23" s="197" t="s">
        <v>268</v>
      </c>
      <c r="C23" s="197"/>
      <c r="D23" s="195"/>
      <c r="E23" s="299"/>
      <c r="F23" s="301">
        <f t="shared" ref="F23:G23" si="3">SUM(F134:F135)</f>
        <v>1800</v>
      </c>
      <c r="G23" s="196">
        <f t="shared" si="3"/>
        <v>0</v>
      </c>
      <c r="H23" s="189"/>
      <c r="I23" s="189"/>
      <c r="J23" s="189"/>
      <c r="K23" s="189"/>
      <c r="L23" s="189"/>
      <c r="M23" s="189"/>
      <c r="N23" s="99"/>
      <c r="O23" s="99"/>
      <c r="P23" s="99"/>
      <c r="R23" s="190"/>
    </row>
    <row r="24" spans="1:18" ht="12.75" x14ac:dyDescent="0.2">
      <c r="A24" s="185"/>
      <c r="B24" s="193" t="s">
        <v>16</v>
      </c>
      <c r="C24" s="195"/>
      <c r="D24" s="195"/>
      <c r="E24" s="299"/>
      <c r="F24" s="302">
        <f t="shared" ref="F24:G24" si="4">F137</f>
        <v>120700</v>
      </c>
      <c r="G24" s="198">
        <f t="shared" si="4"/>
        <v>74196.12</v>
      </c>
      <c r="H24" s="189"/>
      <c r="I24" s="189"/>
      <c r="J24" s="189"/>
      <c r="K24" s="189"/>
      <c r="L24" s="189"/>
      <c r="M24" s="189"/>
      <c r="N24" s="99"/>
      <c r="O24" s="99"/>
      <c r="P24" s="99"/>
      <c r="R24" s="190"/>
    </row>
    <row r="25" spans="1:18" ht="13.5" thickBot="1" x14ac:dyDescent="0.25">
      <c r="A25" s="185"/>
      <c r="B25" s="199" t="s">
        <v>269</v>
      </c>
      <c r="C25" s="195"/>
      <c r="D25" s="195"/>
      <c r="E25" s="299"/>
      <c r="F25" s="303">
        <f t="shared" ref="F25:G25" si="5">F139</f>
        <v>300</v>
      </c>
      <c r="G25" s="200">
        <f t="shared" si="5"/>
        <v>36336.880000000005</v>
      </c>
      <c r="H25" s="189"/>
      <c r="I25" s="189"/>
      <c r="J25" s="189"/>
      <c r="K25" s="189"/>
      <c r="L25" s="189"/>
      <c r="M25" s="189"/>
      <c r="N25" s="99"/>
      <c r="O25" s="99"/>
      <c r="P25" s="99"/>
      <c r="R25" s="190"/>
    </row>
    <row r="26" spans="1:18" ht="14.25" thickTop="1" thickBot="1" x14ac:dyDescent="0.25">
      <c r="A26" s="185"/>
      <c r="B26" s="193" t="s">
        <v>270</v>
      </c>
      <c r="C26" s="193"/>
      <c r="D26" s="193"/>
      <c r="E26" s="299"/>
      <c r="F26" s="304">
        <f t="shared" ref="F26:G26" si="6">F147</f>
        <v>-7000</v>
      </c>
      <c r="G26" s="201">
        <f t="shared" si="6"/>
        <v>31976.880000000005</v>
      </c>
      <c r="H26" s="189"/>
      <c r="I26" s="189"/>
      <c r="J26" s="189"/>
      <c r="K26" s="189"/>
      <c r="L26" s="189"/>
      <c r="M26" s="189"/>
      <c r="N26" s="99"/>
      <c r="O26" s="99"/>
      <c r="P26" s="99"/>
      <c r="R26" s="190"/>
    </row>
    <row r="27" spans="1:18" ht="14.25" thickTop="1" thickBot="1" x14ac:dyDescent="0.25">
      <c r="A27" s="202"/>
      <c r="B27" s="203"/>
      <c r="C27" s="204"/>
      <c r="D27" s="204"/>
      <c r="E27" s="305"/>
      <c r="F27" s="306"/>
      <c r="G27" s="205"/>
      <c r="H27" s="205"/>
      <c r="I27" s="205"/>
      <c r="J27" s="205"/>
      <c r="K27" s="205"/>
      <c r="L27" s="205"/>
      <c r="M27" s="205"/>
      <c r="N27" s="206"/>
      <c r="O27" s="206"/>
      <c r="P27" s="206"/>
      <c r="Q27" s="207"/>
      <c r="R27" s="208"/>
    </row>
    <row r="28" spans="1:18" ht="12.75" x14ac:dyDescent="0.2">
      <c r="A28" s="209"/>
      <c r="B28" s="210" t="s">
        <v>271</v>
      </c>
      <c r="C28" s="185"/>
      <c r="D28" s="185"/>
      <c r="E28" s="307"/>
      <c r="F28" s="308" t="s">
        <v>78</v>
      </c>
      <c r="G28" s="211" t="s">
        <v>272</v>
      </c>
      <c r="H28" s="168"/>
      <c r="I28" s="168"/>
      <c r="J28" s="168"/>
      <c r="K28" s="168"/>
      <c r="L28" s="168"/>
      <c r="M28" s="168"/>
      <c r="N28" s="99"/>
      <c r="O28" s="99"/>
      <c r="P28" s="99"/>
      <c r="R28" s="190"/>
    </row>
    <row r="29" spans="1:18" ht="12.75" x14ac:dyDescent="0.2">
      <c r="A29" s="191"/>
      <c r="B29" s="185"/>
      <c r="C29" s="185"/>
      <c r="D29" s="185"/>
      <c r="E29" s="309"/>
      <c r="F29" s="310">
        <v>2022</v>
      </c>
      <c r="G29" s="212">
        <v>2021</v>
      </c>
      <c r="H29" s="212">
        <v>2020</v>
      </c>
      <c r="I29" s="212">
        <v>2019</v>
      </c>
      <c r="J29" s="212">
        <v>2018</v>
      </c>
      <c r="K29" s="212">
        <v>2017</v>
      </c>
      <c r="L29" s="212">
        <v>2016</v>
      </c>
      <c r="M29" s="212">
        <v>2015</v>
      </c>
      <c r="N29" s="190"/>
      <c r="O29" s="190"/>
      <c r="P29" s="213" t="s">
        <v>92</v>
      </c>
      <c r="Q29" s="214"/>
      <c r="R29" s="190"/>
    </row>
    <row r="30" spans="1:18" ht="12.75" x14ac:dyDescent="0.2">
      <c r="A30" s="185" t="s">
        <v>6</v>
      </c>
      <c r="B30" s="191"/>
      <c r="C30" s="191"/>
      <c r="D30" s="191"/>
      <c r="E30" s="296"/>
      <c r="F30" s="311"/>
      <c r="G30" s="216"/>
      <c r="H30" s="216"/>
      <c r="I30" s="216"/>
      <c r="J30" s="216"/>
      <c r="K30" s="216"/>
      <c r="L30" s="216"/>
      <c r="M30" s="216"/>
      <c r="N30" s="99"/>
      <c r="O30" s="99"/>
      <c r="P30" s="217"/>
      <c r="Q30" s="218"/>
      <c r="R30" s="218"/>
    </row>
    <row r="31" spans="1:18" ht="12.75" x14ac:dyDescent="0.2">
      <c r="A31" s="185"/>
      <c r="B31" s="123" t="s">
        <v>273</v>
      </c>
      <c r="C31" s="219"/>
      <c r="D31" s="219"/>
      <c r="E31" s="312"/>
      <c r="F31" s="313" t="s">
        <v>274</v>
      </c>
      <c r="G31" s="221">
        <v>17445</v>
      </c>
      <c r="H31" s="221">
        <v>12163</v>
      </c>
      <c r="I31" s="221">
        <v>8077</v>
      </c>
      <c r="J31" s="221">
        <v>11240</v>
      </c>
      <c r="K31" s="221">
        <v>5984</v>
      </c>
      <c r="L31" s="221">
        <v>3989</v>
      </c>
      <c r="M31" s="221">
        <v>2388</v>
      </c>
      <c r="N31" s="99"/>
      <c r="O31" s="99"/>
      <c r="P31" s="99" t="s">
        <v>275</v>
      </c>
      <c r="Q31" s="218"/>
      <c r="R31" s="218"/>
    </row>
    <row r="32" spans="1:18" ht="12.75" collapsed="1" x14ac:dyDescent="0.2">
      <c r="A32" s="185"/>
      <c r="B32" s="191" t="s">
        <v>242</v>
      </c>
      <c r="C32" s="191"/>
      <c r="D32" s="191"/>
      <c r="E32" s="296"/>
      <c r="F32" s="311">
        <f>SUM(E33:E34)</f>
        <v>13500</v>
      </c>
      <c r="G32" s="216" t="s">
        <v>274</v>
      </c>
      <c r="H32" s="216" t="s">
        <v>274</v>
      </c>
      <c r="I32" s="216" t="s">
        <v>274</v>
      </c>
      <c r="J32" s="216" t="s">
        <v>274</v>
      </c>
      <c r="K32" s="216" t="s">
        <v>274</v>
      </c>
      <c r="L32" s="216" t="s">
        <v>274</v>
      </c>
      <c r="M32" s="216" t="s">
        <v>274</v>
      </c>
      <c r="N32" s="99"/>
      <c r="O32" s="99"/>
      <c r="P32" s="99" t="str">
        <f>CONCATENATE("2022 donations + memberships budgeted at a ",MROUND(((F32+F35)/G31-1)*100,1),"% increase from 2021")</f>
        <v>2022 donations + memberships budgeted at a 6% increase from 2021</v>
      </c>
      <c r="Q32" s="218"/>
      <c r="R32" s="218"/>
    </row>
    <row r="33" spans="1:18" ht="12.75" hidden="1" outlineLevel="1" x14ac:dyDescent="0.2">
      <c r="A33" s="185"/>
      <c r="B33" s="191"/>
      <c r="C33" s="99" t="s">
        <v>276</v>
      </c>
      <c r="D33" s="191"/>
      <c r="E33" s="296">
        <v>5500</v>
      </c>
      <c r="F33" s="314"/>
      <c r="G33" s="216" t="s">
        <v>274</v>
      </c>
      <c r="H33" s="216" t="s">
        <v>274</v>
      </c>
      <c r="I33" s="216" t="s">
        <v>274</v>
      </c>
      <c r="J33" s="216" t="s">
        <v>274</v>
      </c>
      <c r="K33" s="216" t="s">
        <v>274</v>
      </c>
      <c r="L33" s="216" t="s">
        <v>274</v>
      </c>
      <c r="M33" s="216" t="s">
        <v>274</v>
      </c>
      <c r="N33" s="99"/>
      <c r="O33" s="99"/>
      <c r="P33" s="99"/>
      <c r="Q33" s="218"/>
      <c r="R33" s="218"/>
    </row>
    <row r="34" spans="1:18" ht="12.75" hidden="1" outlineLevel="1" x14ac:dyDescent="0.2">
      <c r="A34" s="185"/>
      <c r="B34" s="191"/>
      <c r="C34" s="99" t="s">
        <v>277</v>
      </c>
      <c r="D34" s="191"/>
      <c r="E34" s="296">
        <v>8000</v>
      </c>
      <c r="F34" s="314"/>
      <c r="G34" s="216" t="s">
        <v>274</v>
      </c>
      <c r="H34" s="216" t="s">
        <v>274</v>
      </c>
      <c r="I34" s="216" t="s">
        <v>274</v>
      </c>
      <c r="J34" s="216" t="s">
        <v>274</v>
      </c>
      <c r="K34" s="216" t="s">
        <v>274</v>
      </c>
      <c r="L34" s="216" t="s">
        <v>274</v>
      </c>
      <c r="M34" s="216" t="s">
        <v>274</v>
      </c>
      <c r="N34" s="99"/>
      <c r="O34" s="99"/>
      <c r="P34" s="99"/>
      <c r="Q34" s="218"/>
      <c r="R34" s="218"/>
    </row>
    <row r="35" spans="1:18" ht="12.75" x14ac:dyDescent="0.2">
      <c r="A35" s="185"/>
      <c r="B35" s="191" t="s">
        <v>175</v>
      </c>
      <c r="C35" s="191"/>
      <c r="D35" s="191"/>
      <c r="E35" s="296"/>
      <c r="F35" s="311">
        <v>5000</v>
      </c>
      <c r="G35" s="216" t="s">
        <v>274</v>
      </c>
      <c r="H35" s="216" t="s">
        <v>274</v>
      </c>
      <c r="I35" s="216" t="s">
        <v>274</v>
      </c>
      <c r="J35" s="216" t="s">
        <v>274</v>
      </c>
      <c r="K35" s="216" t="s">
        <v>274</v>
      </c>
      <c r="L35" s="216" t="s">
        <v>274</v>
      </c>
      <c r="M35" s="216" t="s">
        <v>274</v>
      </c>
      <c r="N35" s="217"/>
      <c r="O35" s="217"/>
      <c r="P35" s="99" t="str">
        <f>CONCATENATE("Equals ",F35/20," members.")</f>
        <v>Equals 250 members.</v>
      </c>
      <c r="Q35" s="218"/>
      <c r="R35" s="218"/>
    </row>
    <row r="36" spans="1:18" ht="12.75" collapsed="1" x14ac:dyDescent="0.2">
      <c r="A36" s="185"/>
      <c r="B36" s="191" t="s">
        <v>1</v>
      </c>
      <c r="C36" s="191"/>
      <c r="D36" s="191"/>
      <c r="E36" s="296"/>
      <c r="F36" s="311">
        <f>MROUND(SUM(E37:E38),100)</f>
        <v>5500</v>
      </c>
      <c r="G36" s="216">
        <v>750</v>
      </c>
      <c r="H36" s="216">
        <v>250</v>
      </c>
      <c r="I36" s="216">
        <f>1750+1500</f>
        <v>3250</v>
      </c>
      <c r="J36" s="216">
        <v>1050</v>
      </c>
      <c r="K36" s="216">
        <v>2500</v>
      </c>
      <c r="L36" s="216">
        <v>170</v>
      </c>
      <c r="M36" s="216">
        <v>400</v>
      </c>
      <c r="N36" s="99"/>
      <c r="O36" s="99"/>
      <c r="P36" s="99"/>
      <c r="Q36" s="218"/>
      <c r="R36" s="218"/>
    </row>
    <row r="37" spans="1:18" ht="12.75" hidden="1" outlineLevel="1" x14ac:dyDescent="0.2">
      <c r="A37" s="185"/>
      <c r="B37" s="191"/>
      <c r="C37" s="191" t="s">
        <v>278</v>
      </c>
      <c r="D37" s="191"/>
      <c r="E37" s="296">
        <v>3500</v>
      </c>
      <c r="F37" s="311"/>
      <c r="G37" s="216"/>
      <c r="H37" s="216"/>
      <c r="I37" s="216"/>
      <c r="J37" s="216"/>
      <c r="K37" s="216"/>
      <c r="L37" s="216"/>
      <c r="M37" s="216"/>
      <c r="N37" s="99"/>
      <c r="O37" s="99"/>
      <c r="P37" s="99" t="s">
        <v>279</v>
      </c>
      <c r="Q37" s="218"/>
      <c r="R37" s="218"/>
    </row>
    <row r="38" spans="1:18" ht="12.75" hidden="1" outlineLevel="1" x14ac:dyDescent="0.2">
      <c r="A38" s="185"/>
      <c r="B38" s="191"/>
      <c r="C38" s="191" t="s">
        <v>280</v>
      </c>
      <c r="D38" s="191"/>
      <c r="E38" s="296">
        <v>2000</v>
      </c>
      <c r="F38" s="311"/>
      <c r="G38" s="216"/>
      <c r="H38" s="216"/>
      <c r="I38" s="216"/>
      <c r="J38" s="216"/>
      <c r="K38" s="216"/>
      <c r="L38" s="216"/>
      <c r="M38" s="216"/>
      <c r="N38" s="99"/>
      <c r="O38" s="99"/>
      <c r="P38" s="99"/>
      <c r="Q38" s="218"/>
      <c r="R38" s="218"/>
    </row>
    <row r="39" spans="1:18" ht="12.75" collapsed="1" x14ac:dyDescent="0.2">
      <c r="A39" s="185"/>
      <c r="B39" s="191" t="s">
        <v>281</v>
      </c>
      <c r="C39" s="191"/>
      <c r="D39" s="191"/>
      <c r="E39" s="315"/>
      <c r="F39" s="311">
        <f>MROUND(SUM(E40:E41),100)</f>
        <v>5300</v>
      </c>
      <c r="G39" s="216">
        <v>0</v>
      </c>
      <c r="H39" s="216">
        <v>1799</v>
      </c>
      <c r="I39" s="216">
        <v>1230</v>
      </c>
      <c r="J39" s="216">
        <v>1150</v>
      </c>
      <c r="K39" s="216">
        <v>6356</v>
      </c>
      <c r="L39" s="216">
        <v>4400</v>
      </c>
      <c r="M39" s="216">
        <v>8656</v>
      </c>
      <c r="N39" s="99"/>
      <c r="O39" s="99"/>
      <c r="P39" s="99" t="s">
        <v>282</v>
      </c>
      <c r="Q39" s="218"/>
      <c r="R39" s="218"/>
    </row>
    <row r="40" spans="1:18" ht="12.75" hidden="1" outlineLevel="1" x14ac:dyDescent="0.2">
      <c r="A40" s="185"/>
      <c r="B40" s="191"/>
      <c r="C40" s="99" t="s">
        <v>283</v>
      </c>
      <c r="D40" s="191"/>
      <c r="E40" s="296">
        <f>'[2]Fall Concert'!F22</f>
        <v>5250</v>
      </c>
      <c r="F40" s="314"/>
      <c r="G40" s="216"/>
      <c r="H40" s="216"/>
      <c r="I40" s="216"/>
      <c r="J40" s="216"/>
      <c r="K40" s="216"/>
      <c r="L40" s="216"/>
      <c r="M40" s="216"/>
      <c r="N40" s="99"/>
      <c r="O40" s="99"/>
      <c r="P40" s="99"/>
      <c r="Q40" s="218"/>
      <c r="R40" s="218"/>
    </row>
    <row r="41" spans="1:18" ht="12.75" hidden="1" outlineLevel="1" x14ac:dyDescent="0.2">
      <c r="A41" s="185"/>
      <c r="B41" s="191"/>
      <c r="C41" s="99" t="s">
        <v>284</v>
      </c>
      <c r="D41" s="191"/>
      <c r="E41" s="296">
        <v>0</v>
      </c>
      <c r="F41" s="314"/>
      <c r="G41" s="216"/>
      <c r="H41" s="216"/>
      <c r="I41" s="216"/>
      <c r="J41" s="216"/>
      <c r="K41" s="216"/>
      <c r="L41" s="216"/>
      <c r="M41" s="216"/>
      <c r="N41" s="99"/>
      <c r="O41" s="99"/>
      <c r="P41" s="99"/>
      <c r="Q41" s="218"/>
      <c r="R41" s="218"/>
    </row>
    <row r="42" spans="1:18" ht="12.75" collapsed="1" x14ac:dyDescent="0.2">
      <c r="A42" s="185"/>
      <c r="B42" s="191" t="s">
        <v>285</v>
      </c>
      <c r="C42" s="191"/>
      <c r="D42" s="191"/>
      <c r="E42" s="316"/>
      <c r="F42" s="311">
        <f>MROUND(SUM(E43:E50),100)</f>
        <v>39600</v>
      </c>
      <c r="G42" s="216">
        <f>2000+1102+2690+1925+900+2500+2500+37630+20218+2262+240</f>
        <v>73967</v>
      </c>
      <c r="H42" s="216">
        <f>8000+15783+6581+13927+2428-1512</f>
        <v>45207</v>
      </c>
      <c r="I42" s="216">
        <v>3700</v>
      </c>
      <c r="J42" s="216">
        <v>3513</v>
      </c>
      <c r="K42" s="216">
        <v>4400</v>
      </c>
      <c r="L42" s="216">
        <v>3400</v>
      </c>
      <c r="M42" s="216">
        <v>0</v>
      </c>
      <c r="N42" s="99"/>
      <c r="O42" s="99"/>
      <c r="P42" s="99" t="s">
        <v>286</v>
      </c>
      <c r="Q42" s="218"/>
      <c r="R42" s="218"/>
    </row>
    <row r="43" spans="1:18" ht="12.75" hidden="1" outlineLevel="1" x14ac:dyDescent="0.2">
      <c r="A43" s="185"/>
      <c r="B43" s="191"/>
      <c r="C43" s="223" t="s">
        <v>287</v>
      </c>
      <c r="D43" s="223"/>
      <c r="E43" s="296"/>
      <c r="F43" s="314"/>
      <c r="G43" s="216" t="s">
        <v>274</v>
      </c>
      <c r="H43" s="216"/>
      <c r="I43" s="216"/>
      <c r="J43" s="216"/>
      <c r="K43" s="216"/>
      <c r="L43" s="216"/>
      <c r="M43" s="216"/>
      <c r="N43" s="99"/>
      <c r="O43" s="99"/>
      <c r="P43" s="99" t="s">
        <v>288</v>
      </c>
      <c r="Q43" s="218"/>
      <c r="R43" s="218"/>
    </row>
    <row r="44" spans="1:18" ht="12.75" hidden="1" outlineLevel="1" x14ac:dyDescent="0.2">
      <c r="A44" s="185"/>
      <c r="B44" s="191"/>
      <c r="C44" s="223"/>
      <c r="D44" s="99" t="s">
        <v>24</v>
      </c>
      <c r="E44" s="296">
        <f>'[2]CSJ Budgeted'!N19</f>
        <v>7680.0999999999995</v>
      </c>
      <c r="F44" s="314"/>
      <c r="G44" s="216"/>
      <c r="H44" s="216"/>
      <c r="I44" s="216"/>
      <c r="J44" s="216"/>
      <c r="K44" s="216"/>
      <c r="L44" s="216"/>
      <c r="M44" s="216"/>
      <c r="N44" s="99"/>
      <c r="O44" s="99"/>
      <c r="P44" s="190" t="s">
        <v>289</v>
      </c>
      <c r="Q44" s="218"/>
      <c r="R44" s="218"/>
    </row>
    <row r="45" spans="1:18" ht="12.75" hidden="1" outlineLevel="1" x14ac:dyDescent="0.2">
      <c r="A45" s="185"/>
      <c r="B45" s="191"/>
      <c r="C45" s="223"/>
      <c r="D45" s="99" t="s">
        <v>290</v>
      </c>
      <c r="E45" s="296">
        <v>2000</v>
      </c>
      <c r="F45" s="314"/>
      <c r="G45" s="216"/>
      <c r="H45" s="216"/>
      <c r="I45" s="216"/>
      <c r="J45" s="216"/>
      <c r="K45" s="216"/>
      <c r="L45" s="216"/>
      <c r="M45" s="216"/>
      <c r="N45" s="99"/>
      <c r="O45" s="99"/>
      <c r="P45" s="99"/>
      <c r="Q45" s="218"/>
      <c r="R45" s="218"/>
    </row>
    <row r="46" spans="1:18" ht="12.75" hidden="1" outlineLevel="1" x14ac:dyDescent="0.2">
      <c r="A46" s="185"/>
      <c r="B46" s="191"/>
      <c r="C46" s="223"/>
      <c r="D46" s="99" t="s">
        <v>291</v>
      </c>
      <c r="E46" s="296">
        <v>2000</v>
      </c>
      <c r="F46" s="314"/>
      <c r="G46" s="216"/>
      <c r="H46" s="216"/>
      <c r="I46" s="216"/>
      <c r="J46" s="216"/>
      <c r="K46" s="216"/>
      <c r="L46" s="216"/>
      <c r="M46" s="216"/>
      <c r="N46" s="99"/>
      <c r="O46" s="99"/>
      <c r="P46" s="99"/>
      <c r="Q46" s="218"/>
      <c r="R46" s="218"/>
    </row>
    <row r="47" spans="1:18" ht="12.75" hidden="1" outlineLevel="1" x14ac:dyDescent="0.2">
      <c r="A47" s="185"/>
      <c r="B47" s="191"/>
      <c r="C47" s="223"/>
      <c r="D47" s="99" t="s">
        <v>292</v>
      </c>
      <c r="E47" s="296">
        <v>0</v>
      </c>
      <c r="F47" s="314"/>
      <c r="G47" s="216"/>
      <c r="H47" s="216"/>
      <c r="I47" s="216"/>
      <c r="J47" s="216"/>
      <c r="K47" s="216"/>
      <c r="L47" s="216"/>
      <c r="M47" s="216"/>
      <c r="N47" s="99"/>
      <c r="O47" s="99"/>
      <c r="P47" s="99"/>
      <c r="Q47" s="218"/>
      <c r="R47" s="218"/>
    </row>
    <row r="48" spans="1:18" ht="12.75" hidden="1" outlineLevel="1" x14ac:dyDescent="0.2">
      <c r="A48" s="185"/>
      <c r="B48" s="191"/>
      <c r="C48" s="223" t="s">
        <v>293</v>
      </c>
      <c r="D48" s="223"/>
      <c r="E48" s="315"/>
      <c r="F48" s="314"/>
      <c r="G48" s="216" t="s">
        <v>274</v>
      </c>
      <c r="H48" s="216"/>
      <c r="I48" s="216"/>
      <c r="J48" s="216"/>
      <c r="K48" s="216"/>
      <c r="L48" s="216"/>
      <c r="M48" s="216"/>
      <c r="N48" s="99"/>
      <c r="O48" s="99"/>
      <c r="P48" s="99" t="s">
        <v>294</v>
      </c>
      <c r="Q48" s="218"/>
      <c r="R48" s="218"/>
    </row>
    <row r="49" spans="1:18" ht="12.75" hidden="1" outlineLevel="1" x14ac:dyDescent="0.2">
      <c r="A49" s="185"/>
      <c r="B49" s="191"/>
      <c r="C49" s="223"/>
      <c r="D49" s="99" t="s">
        <v>295</v>
      </c>
      <c r="E49" s="296">
        <v>5000</v>
      </c>
      <c r="F49" s="314"/>
      <c r="G49" s="216"/>
      <c r="H49" s="216"/>
      <c r="I49" s="216"/>
      <c r="J49" s="216"/>
      <c r="K49" s="216"/>
      <c r="L49" s="216"/>
      <c r="M49" s="216"/>
      <c r="N49" s="99"/>
      <c r="O49" s="99"/>
      <c r="P49" s="99"/>
      <c r="Q49" s="218"/>
      <c r="R49" s="218"/>
    </row>
    <row r="50" spans="1:18" ht="12.75" hidden="1" outlineLevel="1" x14ac:dyDescent="0.2">
      <c r="A50" s="185"/>
      <c r="B50" s="191"/>
      <c r="C50" s="223"/>
      <c r="D50" s="99" t="s">
        <v>296</v>
      </c>
      <c r="E50" s="296">
        <v>22913</v>
      </c>
      <c r="F50" s="314"/>
      <c r="G50" s="216"/>
      <c r="H50" s="216"/>
      <c r="I50" s="216"/>
      <c r="J50" s="216"/>
      <c r="K50" s="216"/>
      <c r="L50" s="216"/>
      <c r="M50" s="216"/>
      <c r="N50" s="99"/>
      <c r="O50" s="99"/>
      <c r="P50" s="99" t="s">
        <v>297</v>
      </c>
      <c r="Q50" s="218"/>
      <c r="R50" s="218"/>
    </row>
    <row r="51" spans="1:18" ht="12.75" collapsed="1" x14ac:dyDescent="0.2">
      <c r="A51" s="185"/>
      <c r="B51" s="191" t="s">
        <v>298</v>
      </c>
      <c r="C51" s="191"/>
      <c r="D51" s="191"/>
      <c r="E51" s="296"/>
      <c r="F51" s="311">
        <f>MROUND(SUM(E52:E55),100)</f>
        <v>52100</v>
      </c>
      <c r="G51" s="216">
        <f>SUM(O52:O55)</f>
        <v>5255</v>
      </c>
      <c r="H51" s="216">
        <f>17091+928</f>
        <v>18019</v>
      </c>
      <c r="I51" s="216">
        <f>6753+19342</f>
        <v>26095</v>
      </c>
      <c r="J51" s="216">
        <f>20422</f>
        <v>20422</v>
      </c>
      <c r="K51" s="216">
        <v>13929</v>
      </c>
      <c r="L51" s="216">
        <v>11791</v>
      </c>
      <c r="M51" s="216">
        <v>15996</v>
      </c>
      <c r="N51" s="99"/>
      <c r="O51" s="99"/>
      <c r="P51" s="99" t="s">
        <v>299</v>
      </c>
      <c r="Q51" s="218"/>
      <c r="R51" s="218"/>
    </row>
    <row r="52" spans="1:18" ht="12.75" hidden="1" outlineLevel="1" x14ac:dyDescent="0.2">
      <c r="A52" s="185"/>
      <c r="B52" s="191"/>
      <c r="C52" s="99" t="s">
        <v>222</v>
      </c>
      <c r="D52" s="191"/>
      <c r="E52" s="296">
        <v>22500</v>
      </c>
      <c r="F52" s="314"/>
      <c r="G52" s="224"/>
      <c r="H52" s="224"/>
      <c r="I52" s="224"/>
      <c r="J52" s="224"/>
      <c r="K52" s="224"/>
      <c r="L52" s="224"/>
      <c r="M52" s="224"/>
      <c r="N52" s="186"/>
      <c r="O52" s="186">
        <v>2480</v>
      </c>
      <c r="P52" s="99" t="s">
        <v>300</v>
      </c>
      <c r="Q52" s="218"/>
      <c r="R52" s="218"/>
    </row>
    <row r="53" spans="1:18" ht="12.75" hidden="1" outlineLevel="1" x14ac:dyDescent="0.2">
      <c r="A53" s="185"/>
      <c r="B53" s="191"/>
      <c r="C53" s="99" t="s">
        <v>301</v>
      </c>
      <c r="D53" s="191"/>
      <c r="E53" s="296">
        <f>'[2]Rides Budget'!D38</f>
        <v>3900</v>
      </c>
      <c r="F53" s="314"/>
      <c r="G53" s="224"/>
      <c r="H53" s="224"/>
      <c r="I53" s="224"/>
      <c r="J53" s="224"/>
      <c r="K53" s="224"/>
      <c r="L53" s="224"/>
      <c r="M53" s="224"/>
      <c r="N53" s="186"/>
      <c r="O53" s="186">
        <v>2775</v>
      </c>
      <c r="P53" s="99"/>
      <c r="Q53" s="218"/>
      <c r="R53" s="218"/>
    </row>
    <row r="54" spans="1:18" ht="12.75" hidden="1" outlineLevel="1" x14ac:dyDescent="0.2">
      <c r="A54" s="185"/>
      <c r="B54" s="191"/>
      <c r="C54" s="99" t="s">
        <v>302</v>
      </c>
      <c r="D54" s="191"/>
      <c r="E54" s="296">
        <v>4164</v>
      </c>
      <c r="F54" s="314"/>
      <c r="G54" s="224"/>
      <c r="H54" s="224"/>
      <c r="I54" s="224"/>
      <c r="J54" s="224"/>
      <c r="K54" s="224"/>
      <c r="L54" s="224"/>
      <c r="M54" s="224"/>
      <c r="N54" s="186"/>
      <c r="O54" s="186">
        <v>0</v>
      </c>
      <c r="P54" s="99" t="s">
        <v>303</v>
      </c>
      <c r="Q54" s="218"/>
      <c r="R54" s="218"/>
    </row>
    <row r="55" spans="1:18" ht="12.75" hidden="1" outlineLevel="1" x14ac:dyDescent="0.2">
      <c r="A55" s="185"/>
      <c r="B55" s="191"/>
      <c r="C55" s="99" t="s">
        <v>304</v>
      </c>
      <c r="D55" s="191"/>
      <c r="E55" s="296">
        <v>21500</v>
      </c>
      <c r="F55" s="314"/>
      <c r="G55" s="224"/>
      <c r="H55" s="224"/>
      <c r="I55" s="224"/>
      <c r="J55" s="224"/>
      <c r="K55" s="224"/>
      <c r="L55" s="224"/>
      <c r="M55" s="224"/>
      <c r="N55" s="99"/>
      <c r="O55" s="99"/>
      <c r="P55" s="225" t="s">
        <v>305</v>
      </c>
      <c r="Q55" s="218"/>
      <c r="R55" s="218"/>
    </row>
    <row r="56" spans="1:18" ht="12.75" hidden="1" collapsed="1" x14ac:dyDescent="0.2">
      <c r="A56" s="185"/>
      <c r="B56" s="191" t="s">
        <v>306</v>
      </c>
      <c r="C56" s="191"/>
      <c r="D56" s="191"/>
      <c r="E56" s="296"/>
      <c r="F56" s="313">
        <f>MROUND(SUM(E57),100)</f>
        <v>0</v>
      </c>
      <c r="G56" s="216">
        <v>0</v>
      </c>
      <c r="H56" s="216"/>
      <c r="I56" s="216"/>
      <c r="J56" s="216"/>
      <c r="K56" s="216"/>
      <c r="L56" s="216"/>
      <c r="M56" s="216"/>
      <c r="N56" s="222"/>
      <c r="O56" s="222"/>
      <c r="P56" s="217" t="s">
        <v>307</v>
      </c>
      <c r="Q56" s="218"/>
      <c r="R56" s="218"/>
    </row>
    <row r="57" spans="1:18" ht="12.75" hidden="1" outlineLevel="1" x14ac:dyDescent="0.2">
      <c r="A57" s="185"/>
      <c r="B57" s="191"/>
      <c r="C57" s="217" t="s">
        <v>308</v>
      </c>
      <c r="D57" s="191"/>
      <c r="E57" s="312">
        <f>IF(A$28="N","",O57)</f>
        <v>0</v>
      </c>
      <c r="F57" s="311"/>
      <c r="G57" s="216"/>
      <c r="H57" s="216"/>
      <c r="I57" s="216"/>
      <c r="J57" s="216"/>
      <c r="K57" s="216"/>
      <c r="L57" s="216"/>
      <c r="M57" s="216"/>
      <c r="N57" s="220"/>
      <c r="O57" s="220">
        <v>0</v>
      </c>
      <c r="P57" s="99"/>
      <c r="Q57" s="218"/>
      <c r="R57" s="218"/>
    </row>
    <row r="58" spans="1:18" ht="12.75" x14ac:dyDescent="0.2">
      <c r="A58" s="185"/>
      <c r="B58" s="191" t="s">
        <v>309</v>
      </c>
      <c r="C58" s="191"/>
      <c r="D58" s="191"/>
      <c r="E58" s="296"/>
      <c r="F58" s="311">
        <v>0</v>
      </c>
      <c r="G58" s="216">
        <f>12497+19+600</f>
        <v>13116</v>
      </c>
      <c r="H58" s="216">
        <v>8</v>
      </c>
      <c r="I58" s="216">
        <f>620+29</f>
        <v>649</v>
      </c>
      <c r="J58" s="216">
        <v>4</v>
      </c>
      <c r="K58" s="216">
        <f>200+2+4700</f>
        <v>4902</v>
      </c>
      <c r="L58" s="216">
        <v>1694</v>
      </c>
      <c r="M58" s="216">
        <v>2355</v>
      </c>
      <c r="N58" s="99"/>
      <c r="O58" s="99"/>
      <c r="P58" s="99" t="s">
        <v>310</v>
      </c>
      <c r="Q58" s="218"/>
      <c r="R58" s="218"/>
    </row>
    <row r="59" spans="1:18" ht="12.75" x14ac:dyDescent="0.2">
      <c r="A59" s="226" t="s">
        <v>81</v>
      </c>
      <c r="B59" s="227"/>
      <c r="C59" s="227"/>
      <c r="D59" s="226"/>
      <c r="E59" s="317"/>
      <c r="F59" s="318">
        <f t="shared" ref="F59:M59" si="7">SUM(F31:F58)</f>
        <v>121000</v>
      </c>
      <c r="G59" s="228">
        <f t="shared" si="7"/>
        <v>110533</v>
      </c>
      <c r="H59" s="228">
        <f t="shared" si="7"/>
        <v>77446</v>
      </c>
      <c r="I59" s="228">
        <f t="shared" si="7"/>
        <v>43001</v>
      </c>
      <c r="J59" s="228">
        <f t="shared" si="7"/>
        <v>37379</v>
      </c>
      <c r="K59" s="228">
        <f t="shared" si="7"/>
        <v>38071</v>
      </c>
      <c r="L59" s="228">
        <f t="shared" si="7"/>
        <v>25444</v>
      </c>
      <c r="M59" s="228">
        <f t="shared" si="7"/>
        <v>29795</v>
      </c>
      <c r="N59" s="99"/>
      <c r="O59" s="99"/>
      <c r="P59" s="99"/>
      <c r="Q59" s="218"/>
      <c r="R59" s="229" t="s">
        <v>311</v>
      </c>
    </row>
    <row r="60" spans="1:18" ht="12.75" x14ac:dyDescent="0.2">
      <c r="A60" s="185"/>
      <c r="B60" s="185"/>
      <c r="C60" s="185"/>
      <c r="D60" s="185"/>
      <c r="E60" s="296"/>
      <c r="F60" s="319">
        <f t="shared" ref="F60:L60" si="8">$F59/F59-1</f>
        <v>0</v>
      </c>
      <c r="G60" s="230">
        <f t="shared" si="8"/>
        <v>9.4695701736133175E-2</v>
      </c>
      <c r="H60" s="230">
        <f t="shared" si="8"/>
        <v>0.56237894791209353</v>
      </c>
      <c r="I60" s="230">
        <f t="shared" si="8"/>
        <v>1.8138880491151368</v>
      </c>
      <c r="J60" s="230">
        <f t="shared" si="8"/>
        <v>2.237111747237754</v>
      </c>
      <c r="K60" s="230">
        <f t="shared" si="8"/>
        <v>2.1782721756717711</v>
      </c>
      <c r="L60" s="230">
        <f t="shared" si="8"/>
        <v>3.7555415815123405</v>
      </c>
      <c r="M60" s="216" t="s">
        <v>312</v>
      </c>
      <c r="N60" s="99"/>
      <c r="O60" s="99"/>
      <c r="P60" s="99"/>
      <c r="Q60" s="218"/>
      <c r="R60" s="218"/>
    </row>
    <row r="61" spans="1:18" ht="12.75" x14ac:dyDescent="0.2">
      <c r="A61" s="231" t="s">
        <v>35</v>
      </c>
      <c r="B61" s="185"/>
      <c r="C61" s="185"/>
      <c r="D61" s="185"/>
      <c r="E61" s="320"/>
      <c r="F61" s="321"/>
      <c r="G61" s="232"/>
      <c r="H61" s="233"/>
      <c r="I61" s="233"/>
      <c r="J61" s="233"/>
      <c r="K61" s="233"/>
      <c r="L61" s="233"/>
      <c r="M61" s="216"/>
      <c r="N61" s="99"/>
      <c r="O61" s="99"/>
      <c r="P61" s="99"/>
      <c r="Q61" s="218"/>
      <c r="R61" s="218"/>
    </row>
    <row r="62" spans="1:18" ht="12.75" x14ac:dyDescent="0.2">
      <c r="B62" s="191" t="s">
        <v>266</v>
      </c>
      <c r="C62" s="185"/>
      <c r="D62" s="185"/>
      <c r="E62" s="320"/>
      <c r="F62" s="321"/>
      <c r="G62" s="232"/>
      <c r="H62" s="233"/>
      <c r="I62" s="233"/>
      <c r="J62" s="233"/>
      <c r="K62" s="233"/>
      <c r="L62" s="233"/>
      <c r="M62" s="216"/>
      <c r="N62" s="99"/>
      <c r="O62" s="99"/>
      <c r="P62" s="99"/>
      <c r="Q62" s="218"/>
      <c r="R62" s="218"/>
    </row>
    <row r="63" spans="1:18" ht="12.75" collapsed="1" x14ac:dyDescent="0.2">
      <c r="B63" s="185"/>
      <c r="C63" s="191" t="s">
        <v>313</v>
      </c>
      <c r="D63" s="191"/>
      <c r="E63" s="296"/>
      <c r="F63" s="311">
        <f>CEILING(SUM(E64:E68),100)</f>
        <v>23000</v>
      </c>
      <c r="G63" s="216">
        <f>19949*O63+0.5*1894</f>
        <v>10921.5</v>
      </c>
      <c r="H63" s="216">
        <f>569+15798*O63+5556/2+3150/2</f>
        <v>12821</v>
      </c>
      <c r="I63" s="216">
        <f>74/2+364+16578*O63</f>
        <v>8690</v>
      </c>
      <c r="J63" s="216">
        <f>2625+12059*O63</f>
        <v>8654.5</v>
      </c>
      <c r="K63" s="216">
        <f>145+200+11005*O63</f>
        <v>5847.5</v>
      </c>
      <c r="L63" s="216">
        <f>1634+29+11029*O63</f>
        <v>7177.5</v>
      </c>
      <c r="M63" s="216">
        <f>1067+461+8313*O63</f>
        <v>5684.5</v>
      </c>
      <c r="N63" s="234"/>
      <c r="O63" s="234">
        <v>0.5</v>
      </c>
      <c r="P63" s="99" t="s">
        <v>314</v>
      </c>
      <c r="Q63" s="218"/>
      <c r="R63" s="218"/>
    </row>
    <row r="64" spans="1:18" ht="12.75" hidden="1" outlineLevel="1" x14ac:dyDescent="0.2">
      <c r="B64" s="185"/>
      <c r="C64" s="191"/>
      <c r="D64" s="99" t="s">
        <v>315</v>
      </c>
      <c r="E64" s="296">
        <f>MROUND(BaseSalary*O63,100)</f>
        <v>9300</v>
      </c>
      <c r="F64" s="311"/>
      <c r="G64" s="216"/>
      <c r="H64" s="216"/>
      <c r="I64" s="216"/>
      <c r="J64" s="216"/>
      <c r="K64" s="216"/>
      <c r="L64" s="216"/>
      <c r="M64" s="216"/>
      <c r="N64" s="234"/>
      <c r="O64" s="234"/>
      <c r="P64" s="99" t="s">
        <v>316</v>
      </c>
      <c r="Q64" s="218"/>
      <c r="R64" s="218"/>
    </row>
    <row r="65" spans="2:18" ht="12.75" hidden="1" outlineLevel="1" x14ac:dyDescent="0.2">
      <c r="B65" s="185"/>
      <c r="C65" s="191"/>
      <c r="D65" s="99" t="s">
        <v>317</v>
      </c>
      <c r="E65" s="296">
        <f>'[2]CSJ Budgeted'!L19*O65</f>
        <v>6026.85</v>
      </c>
      <c r="F65" s="311"/>
      <c r="G65" s="216"/>
      <c r="H65" s="216"/>
      <c r="I65" s="216"/>
      <c r="J65" s="216"/>
      <c r="K65" s="216"/>
      <c r="L65" s="216"/>
      <c r="M65" s="216"/>
      <c r="N65" s="234"/>
      <c r="O65" s="234">
        <v>0.5</v>
      </c>
      <c r="P65" s="99" t="s">
        <v>318</v>
      </c>
      <c r="Q65" s="218"/>
      <c r="R65" s="218"/>
    </row>
    <row r="66" spans="2:18" ht="12.75" hidden="1" outlineLevel="1" x14ac:dyDescent="0.2">
      <c r="B66" s="185"/>
      <c r="C66" s="191"/>
      <c r="D66" s="99" t="s">
        <v>319</v>
      </c>
      <c r="E66" s="296">
        <f>AuditRevenue*0.9</f>
        <v>3747.6</v>
      </c>
      <c r="F66" s="311"/>
      <c r="G66" s="216"/>
      <c r="H66" s="216"/>
      <c r="I66" s="216"/>
      <c r="J66" s="216"/>
      <c r="K66" s="216"/>
      <c r="L66" s="216"/>
      <c r="M66" s="216"/>
      <c r="N66" s="234"/>
      <c r="O66" s="234"/>
      <c r="P66" s="99" t="s">
        <v>320</v>
      </c>
      <c r="Q66" s="218"/>
      <c r="R66" s="218"/>
    </row>
    <row r="67" spans="2:18" ht="12.75" hidden="1" outlineLevel="1" x14ac:dyDescent="0.2">
      <c r="B67" s="185"/>
      <c r="C67" s="191"/>
      <c r="D67" s="99" t="s">
        <v>321</v>
      </c>
      <c r="E67" s="296">
        <v>3675</v>
      </c>
      <c r="F67" s="311"/>
      <c r="G67" s="216"/>
      <c r="H67" s="216"/>
      <c r="I67" s="216"/>
      <c r="J67" s="216"/>
      <c r="K67" s="216"/>
      <c r="L67" s="216"/>
      <c r="M67" s="216"/>
      <c r="N67" s="234"/>
      <c r="O67" s="234"/>
      <c r="P67" s="99" t="s">
        <v>322</v>
      </c>
      <c r="Q67" s="218"/>
      <c r="R67" s="218"/>
    </row>
    <row r="68" spans="2:18" ht="12.75" hidden="1" outlineLevel="1" x14ac:dyDescent="0.2">
      <c r="B68" s="185"/>
      <c r="C68" s="191"/>
      <c r="D68" s="235" t="s">
        <v>323</v>
      </c>
      <c r="E68" s="296">
        <v>250</v>
      </c>
      <c r="F68" s="314"/>
      <c r="G68" s="224"/>
      <c r="H68" s="224"/>
      <c r="I68" s="224"/>
      <c r="J68" s="224"/>
      <c r="K68" s="224"/>
      <c r="L68" s="224"/>
      <c r="M68" s="224"/>
      <c r="N68" s="234"/>
      <c r="O68" s="234"/>
      <c r="P68" s="99" t="s">
        <v>324</v>
      </c>
      <c r="Q68" s="218"/>
      <c r="R68" s="218"/>
    </row>
    <row r="69" spans="2:18" ht="12.75" collapsed="1" x14ac:dyDescent="0.2">
      <c r="B69" s="185"/>
      <c r="C69" s="191" t="s">
        <v>325</v>
      </c>
      <c r="D69" s="191"/>
      <c r="E69" s="296"/>
      <c r="F69" s="311">
        <f>CEILING(SUM(E70:E76),100)</f>
        <v>16300</v>
      </c>
      <c r="G69" s="216">
        <f>19949*O69+831+0.5*1894+951+1413+2108</f>
        <v>12633.68</v>
      </c>
      <c r="H69" s="216">
        <f>58+15798*O69+5310+3664+5556/2+1938+3150/2</f>
        <v>20378.36</v>
      </c>
      <c r="I69" s="216">
        <f>1007+74/2+16578*O69</f>
        <v>6348.96</v>
      </c>
      <c r="J69" s="216">
        <f>810+12059*O69</f>
        <v>4668.88</v>
      </c>
      <c r="K69" s="216">
        <f>182+11005*O69+2158</f>
        <v>5861.6</v>
      </c>
      <c r="L69" s="216">
        <f>11029*O69</f>
        <v>3529.28</v>
      </c>
      <c r="M69" s="216">
        <f>8313*O69</f>
        <v>2660.16</v>
      </c>
      <c r="N69" s="234"/>
      <c r="O69" s="234">
        <v>0.32</v>
      </c>
      <c r="P69" s="99" t="s">
        <v>314</v>
      </c>
      <c r="Q69" s="218"/>
      <c r="R69" s="218"/>
    </row>
    <row r="70" spans="2:18" ht="12.75" hidden="1" outlineLevel="1" x14ac:dyDescent="0.2">
      <c r="B70" s="185"/>
      <c r="C70" s="191"/>
      <c r="D70" s="99" t="s">
        <v>326</v>
      </c>
      <c r="E70" s="296">
        <f>MROUND(BaseSalary*O69,100)</f>
        <v>6000</v>
      </c>
      <c r="F70" s="311"/>
      <c r="G70" s="216"/>
      <c r="H70" s="216"/>
      <c r="I70" s="216"/>
      <c r="J70" s="216"/>
      <c r="K70" s="216"/>
      <c r="L70" s="216"/>
      <c r="M70" s="216"/>
      <c r="N70" s="234"/>
      <c r="O70" s="234"/>
      <c r="P70" s="99" t="s">
        <v>316</v>
      </c>
      <c r="Q70" s="218"/>
      <c r="R70" s="218"/>
    </row>
    <row r="71" spans="2:18" ht="12.75" hidden="1" outlineLevel="1" x14ac:dyDescent="0.2">
      <c r="B71" s="185"/>
      <c r="C71" s="191"/>
      <c r="D71" s="99" t="s">
        <v>326</v>
      </c>
      <c r="E71" s="296">
        <f>'[2]CSJ Budgeted'!L19*O71</f>
        <v>6026.85</v>
      </c>
      <c r="F71" s="311"/>
      <c r="G71" s="216"/>
      <c r="H71" s="216"/>
      <c r="I71" s="216"/>
      <c r="J71" s="216"/>
      <c r="K71" s="216"/>
      <c r="L71" s="216"/>
      <c r="M71" s="216"/>
      <c r="N71" s="234"/>
      <c r="O71" s="234">
        <v>0.5</v>
      </c>
      <c r="P71" s="99" t="s">
        <v>318</v>
      </c>
      <c r="Q71" s="218"/>
      <c r="R71" s="218"/>
    </row>
    <row r="72" spans="2:18" ht="12.75" hidden="1" outlineLevel="1" x14ac:dyDescent="0.2">
      <c r="B72" s="185"/>
      <c r="C72" s="191"/>
      <c r="D72" s="99" t="s">
        <v>327</v>
      </c>
      <c r="E72" s="296"/>
      <c r="F72" s="311"/>
      <c r="G72" s="216"/>
      <c r="H72" s="216"/>
      <c r="I72" s="216"/>
      <c r="J72" s="216"/>
      <c r="K72" s="216"/>
      <c r="L72" s="216"/>
      <c r="M72" s="216"/>
      <c r="N72" s="234"/>
      <c r="O72" s="234"/>
      <c r="P72" s="99" t="s">
        <v>328</v>
      </c>
      <c r="Q72" s="218"/>
      <c r="R72" s="218"/>
    </row>
    <row r="73" spans="2:18" ht="12.75" hidden="1" outlineLevel="1" x14ac:dyDescent="0.2">
      <c r="B73" s="185"/>
      <c r="C73" s="191"/>
      <c r="D73" s="236" t="s">
        <v>327</v>
      </c>
      <c r="E73" s="322">
        <f>'[2]Rides Budget'!D74-'[2]Rides Budget'!D77-'[2]Rides Budget'!X22-'[2]Rides Budget'!X33</f>
        <v>2675</v>
      </c>
      <c r="F73" s="311"/>
      <c r="G73" s="216"/>
      <c r="H73" s="216"/>
      <c r="I73" s="216"/>
      <c r="J73" s="216"/>
      <c r="K73" s="216"/>
      <c r="L73" s="216"/>
      <c r="M73" s="216"/>
      <c r="N73" s="234"/>
      <c r="O73" s="234"/>
      <c r="P73" s="99" t="s">
        <v>329</v>
      </c>
      <c r="Q73" s="218"/>
      <c r="R73" s="218"/>
    </row>
    <row r="74" spans="2:18" ht="12.75" hidden="1" outlineLevel="1" x14ac:dyDescent="0.2">
      <c r="B74" s="185"/>
      <c r="C74" s="191"/>
      <c r="D74" s="217" t="s">
        <v>330</v>
      </c>
      <c r="E74" s="312">
        <v>850</v>
      </c>
      <c r="F74" s="311"/>
      <c r="G74" s="216"/>
      <c r="H74" s="216"/>
      <c r="I74" s="216"/>
      <c r="J74" s="216"/>
      <c r="K74" s="216"/>
      <c r="L74" s="216"/>
      <c r="M74" s="216"/>
      <c r="N74" s="234"/>
      <c r="O74" s="234"/>
      <c r="P74" s="217"/>
      <c r="Q74" s="218"/>
      <c r="R74" s="218"/>
    </row>
    <row r="75" spans="2:18" ht="12.75" hidden="1" outlineLevel="1" x14ac:dyDescent="0.2">
      <c r="B75" s="185"/>
      <c r="C75" s="191"/>
      <c r="D75" s="217" t="s">
        <v>331</v>
      </c>
      <c r="E75" s="312">
        <v>0</v>
      </c>
      <c r="F75" s="311"/>
      <c r="G75" s="216"/>
      <c r="H75" s="216"/>
      <c r="I75" s="216"/>
      <c r="J75" s="216"/>
      <c r="K75" s="216"/>
      <c r="L75" s="216"/>
      <c r="M75" s="216"/>
      <c r="N75" s="234"/>
      <c r="O75" s="234"/>
      <c r="P75" s="217" t="s">
        <v>332</v>
      </c>
      <c r="Q75" s="218"/>
      <c r="R75" s="218"/>
    </row>
    <row r="76" spans="2:18" ht="12.75" hidden="1" outlineLevel="1" x14ac:dyDescent="0.2">
      <c r="B76" s="185"/>
      <c r="C76" s="191"/>
      <c r="D76" s="99" t="s">
        <v>323</v>
      </c>
      <c r="E76" s="296">
        <v>700</v>
      </c>
      <c r="F76" s="314"/>
      <c r="G76" s="224"/>
      <c r="H76" s="224"/>
      <c r="I76" s="224"/>
      <c r="J76" s="224"/>
      <c r="K76" s="224"/>
      <c r="L76" s="224"/>
      <c r="M76" s="224"/>
      <c r="N76" s="234"/>
      <c r="O76" s="234">
        <f>E76/SUM(E72:E75)</f>
        <v>0.19858156028368795</v>
      </c>
      <c r="P76" s="99" t="s">
        <v>333</v>
      </c>
      <c r="Q76" s="218"/>
      <c r="R76" s="218"/>
    </row>
    <row r="77" spans="2:18" ht="12.75" collapsed="1" x14ac:dyDescent="0.2">
      <c r="B77" s="191"/>
      <c r="C77" s="191" t="s">
        <v>334</v>
      </c>
      <c r="D77" s="99"/>
      <c r="E77" s="296"/>
      <c r="F77" s="311">
        <f>CEILING(SUM(E78:E81),100)</f>
        <v>37000</v>
      </c>
      <c r="G77" s="216">
        <f>19949*O77+18697+11705+5715+1575</f>
        <v>38290.47</v>
      </c>
      <c r="H77" s="216">
        <f>15798*O77+5013+5013+14859+788</f>
        <v>26146.94</v>
      </c>
      <c r="I77" s="216">
        <f>16578*O77+5869+17064</f>
        <v>23430.34</v>
      </c>
      <c r="J77" s="216">
        <f>12059*O77+17230</f>
        <v>17591.77</v>
      </c>
      <c r="K77" s="216">
        <f>11005*O77+12099</f>
        <v>12429.15</v>
      </c>
      <c r="L77" s="216">
        <f>11697+11029*O77</f>
        <v>12027.87</v>
      </c>
      <c r="M77" s="216">
        <f>16475+8313*O77</f>
        <v>16724.39</v>
      </c>
      <c r="N77" s="234"/>
      <c r="O77" s="234">
        <v>0.03</v>
      </c>
      <c r="P77" s="99" t="s">
        <v>335</v>
      </c>
      <c r="Q77" s="218"/>
      <c r="R77" s="218"/>
    </row>
    <row r="78" spans="2:18" ht="12.75" hidden="1" outlineLevel="1" x14ac:dyDescent="0.2">
      <c r="B78" s="191"/>
      <c r="C78" s="191"/>
      <c r="D78" s="99" t="s">
        <v>326</v>
      </c>
      <c r="E78" s="296">
        <f>MROUND(BaseSalary*O77,100)</f>
        <v>600</v>
      </c>
      <c r="F78" s="314"/>
      <c r="G78" s="224"/>
      <c r="H78" s="224"/>
      <c r="I78" s="224"/>
      <c r="J78" s="224"/>
      <c r="K78" s="224"/>
      <c r="L78" s="224"/>
      <c r="M78" s="224"/>
      <c r="N78" s="99"/>
      <c r="O78" s="99"/>
      <c r="P78" s="99" t="s">
        <v>316</v>
      </c>
      <c r="Q78" s="218"/>
      <c r="R78" s="218"/>
    </row>
    <row r="79" spans="2:18" ht="12.75" hidden="1" outlineLevel="1" x14ac:dyDescent="0.2">
      <c r="B79" s="191"/>
      <c r="C79" s="191"/>
      <c r="D79" s="99" t="s">
        <v>336</v>
      </c>
      <c r="E79" s="296">
        <f>RackRevenue-(RackRevenue*0.15)</f>
        <v>18275</v>
      </c>
      <c r="F79" s="323"/>
      <c r="G79" s="237"/>
      <c r="H79" s="237"/>
      <c r="I79" s="237"/>
      <c r="J79" s="237"/>
      <c r="K79" s="237"/>
      <c r="L79" s="237"/>
      <c r="M79" s="237"/>
      <c r="N79" s="217"/>
      <c r="O79" s="217"/>
      <c r="P79" s="99" t="s">
        <v>337</v>
      </c>
      <c r="Q79" s="218"/>
      <c r="R79" s="218"/>
    </row>
    <row r="80" spans="2:18" ht="12.75" hidden="1" outlineLevel="1" x14ac:dyDescent="0.2">
      <c r="B80" s="191"/>
      <c r="C80" s="191"/>
      <c r="D80" s="99" t="s">
        <v>338</v>
      </c>
      <c r="E80" s="296">
        <f>BVrevenue-(BVrevenue*0.15)-500-500</f>
        <v>18125</v>
      </c>
      <c r="F80" s="314"/>
      <c r="G80" s="224"/>
      <c r="H80" s="224"/>
      <c r="I80" s="224"/>
      <c r="J80" s="224"/>
      <c r="K80" s="224"/>
      <c r="L80" s="224"/>
      <c r="M80" s="224"/>
      <c r="N80" s="99"/>
      <c r="O80" s="99"/>
      <c r="P80" s="99" t="s">
        <v>339</v>
      </c>
      <c r="Q80" s="218"/>
      <c r="R80" s="218"/>
    </row>
    <row r="81" spans="2:18" ht="12.75" hidden="1" outlineLevel="1" x14ac:dyDescent="0.2">
      <c r="B81" s="191"/>
      <c r="C81" s="191"/>
      <c r="D81" s="217" t="s">
        <v>331</v>
      </c>
      <c r="E81" s="312">
        <v>0</v>
      </c>
      <c r="F81" s="323"/>
      <c r="G81" s="237"/>
      <c r="H81" s="237"/>
      <c r="I81" s="237"/>
      <c r="J81" s="237"/>
      <c r="K81" s="237"/>
      <c r="L81" s="237"/>
      <c r="M81" s="237"/>
      <c r="N81" s="217"/>
      <c r="O81" s="217"/>
      <c r="P81" s="217" t="s">
        <v>340</v>
      </c>
      <c r="Q81" s="218"/>
      <c r="R81" s="218"/>
    </row>
    <row r="82" spans="2:18" ht="12.75" x14ac:dyDescent="0.2">
      <c r="B82" s="238" t="s">
        <v>341</v>
      </c>
      <c r="C82" s="238"/>
      <c r="D82" s="238"/>
      <c r="E82" s="324"/>
      <c r="F82" s="325">
        <f t="shared" ref="F82:M82" si="9">SUM(F63:F81)</f>
        <v>76300</v>
      </c>
      <c r="G82" s="239">
        <f t="shared" si="9"/>
        <v>61845.65</v>
      </c>
      <c r="H82" s="228">
        <f t="shared" si="9"/>
        <v>59346.3</v>
      </c>
      <c r="I82" s="228">
        <f t="shared" si="9"/>
        <v>38469.300000000003</v>
      </c>
      <c r="J82" s="228">
        <f t="shared" si="9"/>
        <v>30915.15</v>
      </c>
      <c r="K82" s="228">
        <f t="shared" si="9"/>
        <v>24138.25</v>
      </c>
      <c r="L82" s="228">
        <f t="shared" si="9"/>
        <v>22734.65</v>
      </c>
      <c r="M82" s="228">
        <f t="shared" si="9"/>
        <v>25069.05</v>
      </c>
      <c r="N82" s="99"/>
      <c r="O82" s="99"/>
      <c r="P82" s="99"/>
      <c r="Q82" s="218"/>
      <c r="R82" s="218"/>
    </row>
    <row r="83" spans="2:18" ht="12.75" x14ac:dyDescent="0.2">
      <c r="B83" s="191"/>
      <c r="C83" s="191"/>
      <c r="D83" s="191"/>
      <c r="E83" s="296"/>
      <c r="F83" s="311"/>
      <c r="G83" s="216"/>
      <c r="H83" s="216"/>
      <c r="I83" s="216"/>
      <c r="J83" s="216"/>
      <c r="K83" s="216"/>
      <c r="L83" s="216"/>
      <c r="M83" s="216"/>
      <c r="N83" s="99"/>
      <c r="O83" s="99"/>
      <c r="P83" s="99"/>
      <c r="Q83" s="218"/>
      <c r="R83" s="218"/>
    </row>
    <row r="84" spans="2:18" ht="12.75" x14ac:dyDescent="0.2">
      <c r="B84" s="191" t="s">
        <v>267</v>
      </c>
      <c r="C84" s="191"/>
      <c r="D84" s="191"/>
      <c r="E84" s="314"/>
      <c r="F84" s="311"/>
      <c r="G84" s="216"/>
      <c r="H84" s="216"/>
      <c r="I84" s="216"/>
      <c r="J84" s="216"/>
      <c r="K84" s="216"/>
      <c r="L84" s="216"/>
      <c r="M84" s="216"/>
      <c r="N84" s="191"/>
      <c r="O84" s="191"/>
      <c r="P84" s="191"/>
      <c r="Q84" s="218"/>
      <c r="R84" s="218"/>
    </row>
    <row r="85" spans="2:18" ht="12.75" collapsed="1" x14ac:dyDescent="0.2">
      <c r="B85" s="191"/>
      <c r="C85" s="191" t="s">
        <v>342</v>
      </c>
      <c r="D85" s="191"/>
      <c r="E85" s="296"/>
      <c r="F85" s="311">
        <f>CEILING(SUM(E86:E121),100)</f>
        <v>9800</v>
      </c>
      <c r="G85" s="216">
        <f>150+260+3924+906+19949*O77+1032+595+351+636+2057</f>
        <v>10509.470000000001</v>
      </c>
      <c r="H85" s="216">
        <f>200+334+2621+587+15798*O85+2692+5797+3160+2470+1446</f>
        <v>21676.7</v>
      </c>
      <c r="I85" s="216">
        <f>1065+567+2046+357+16578*O85+1500</f>
        <v>8021.7</v>
      </c>
      <c r="J85" s="216">
        <f>346+1862+12059*O85</f>
        <v>4016.85</v>
      </c>
      <c r="K85" s="216">
        <f>341+712+564+1217+11005*O85</f>
        <v>4484.75</v>
      </c>
      <c r="L85" s="216">
        <f>653+458+413+335+11029*O85</f>
        <v>3513.35</v>
      </c>
      <c r="M85" s="216">
        <f>694+450+250+606+8313*O85</f>
        <v>3246.95</v>
      </c>
      <c r="N85" s="234"/>
      <c r="O85" s="234">
        <v>0.15</v>
      </c>
      <c r="P85" s="99" t="s">
        <v>343</v>
      </c>
      <c r="Q85" s="218"/>
      <c r="R85" s="218"/>
    </row>
    <row r="86" spans="2:18" ht="12.75" hidden="1" outlineLevel="1" x14ac:dyDescent="0.2">
      <c r="B86" s="191"/>
      <c r="C86" s="191"/>
      <c r="D86" s="99" t="s">
        <v>326</v>
      </c>
      <c r="E86" s="296">
        <f>MROUND(BaseSalary*O85,100)</f>
        <v>2800</v>
      </c>
      <c r="F86" s="311"/>
      <c r="G86" s="216"/>
      <c r="H86" s="216"/>
      <c r="I86" s="216"/>
      <c r="J86" s="216"/>
      <c r="K86" s="216"/>
      <c r="L86" s="216"/>
      <c r="M86" s="216"/>
      <c r="N86" s="99"/>
      <c r="O86" s="99"/>
      <c r="P86" s="99" t="str">
        <f>CONCATENATE("E.D. time for mgmt+admin (TOTAL E.D. contract = $",BaseSalary,")")</f>
        <v>E.D. time for mgmt+admin (TOTAL E.D. contract = $18642)</v>
      </c>
      <c r="Q86" s="218"/>
      <c r="R86" s="218"/>
    </row>
    <row r="87" spans="2:18" ht="12.75" hidden="1" outlineLevel="1" x14ac:dyDescent="0.2">
      <c r="B87" s="191"/>
      <c r="C87" s="191"/>
      <c r="D87" s="99" t="s">
        <v>326</v>
      </c>
      <c r="E87" s="296">
        <v>0</v>
      </c>
      <c r="F87" s="311"/>
      <c r="G87" s="216"/>
      <c r="H87" s="216"/>
      <c r="I87" s="216"/>
      <c r="J87" s="216"/>
      <c r="K87" s="216"/>
      <c r="L87" s="216"/>
      <c r="M87" s="216"/>
      <c r="N87" s="99"/>
      <c r="O87" s="240">
        <f>E134</f>
        <v>1.4999999999999999E-2</v>
      </c>
      <c r="P87" s="99" t="s">
        <v>344</v>
      </c>
      <c r="Q87" s="218"/>
      <c r="R87" s="218"/>
    </row>
    <row r="88" spans="2:18" ht="12.75" hidden="1" outlineLevel="1" x14ac:dyDescent="0.2">
      <c r="B88" s="191"/>
      <c r="C88" s="191"/>
      <c r="D88" s="99" t="s">
        <v>326</v>
      </c>
      <c r="E88" s="296">
        <v>400</v>
      </c>
      <c r="F88" s="311"/>
      <c r="G88" s="216"/>
      <c r="H88" s="216"/>
      <c r="I88" s="216"/>
      <c r="J88" s="216"/>
      <c r="K88" s="216"/>
      <c r="L88" s="216"/>
      <c r="M88" s="216"/>
      <c r="N88" s="99"/>
      <c r="O88" s="99"/>
      <c r="P88" s="99" t="s">
        <v>345</v>
      </c>
      <c r="Q88" s="218"/>
      <c r="R88" s="218"/>
    </row>
    <row r="89" spans="2:18" ht="12.75" hidden="1" outlineLevel="1" x14ac:dyDescent="0.2">
      <c r="B89" s="191"/>
      <c r="C89" s="191"/>
      <c r="D89" s="99" t="s">
        <v>170</v>
      </c>
      <c r="E89" s="296">
        <v>1825</v>
      </c>
      <c r="F89" s="311"/>
      <c r="G89" s="216"/>
      <c r="H89" s="216"/>
      <c r="I89" s="216"/>
      <c r="J89" s="216"/>
      <c r="K89" s="216"/>
      <c r="L89" s="216"/>
      <c r="M89" s="216"/>
      <c r="N89" s="99"/>
      <c r="O89" s="99"/>
      <c r="P89" s="241" t="s">
        <v>170</v>
      </c>
      <c r="Q89" s="218"/>
      <c r="R89" s="218"/>
    </row>
    <row r="90" spans="2:18" ht="12.75" hidden="1" outlineLevel="1" x14ac:dyDescent="0.2">
      <c r="B90" s="191"/>
      <c r="C90" s="191"/>
      <c r="D90" s="99" t="s">
        <v>346</v>
      </c>
      <c r="E90" s="296">
        <v>300</v>
      </c>
      <c r="F90" s="311"/>
      <c r="G90" s="216"/>
      <c r="H90" s="216"/>
      <c r="I90" s="216"/>
      <c r="J90" s="216"/>
      <c r="K90" s="216"/>
      <c r="L90" s="216"/>
      <c r="M90" s="216"/>
      <c r="N90" s="99"/>
      <c r="O90" s="99"/>
      <c r="P90" s="241" t="s">
        <v>148</v>
      </c>
      <c r="Q90" s="218"/>
      <c r="R90" s="218"/>
    </row>
    <row r="91" spans="2:18" ht="12.75" hidden="1" outlineLevel="1" x14ac:dyDescent="0.2">
      <c r="B91" s="191"/>
      <c r="C91" s="191"/>
      <c r="D91" s="99" t="s">
        <v>346</v>
      </c>
      <c r="E91" s="296"/>
      <c r="F91" s="311"/>
      <c r="G91" s="216"/>
      <c r="H91" s="216"/>
      <c r="I91" s="216"/>
      <c r="J91" s="216"/>
      <c r="K91" s="216"/>
      <c r="L91" s="216"/>
      <c r="M91" s="216"/>
      <c r="N91" s="99"/>
      <c r="O91" s="99"/>
      <c r="P91" s="242" t="s">
        <v>347</v>
      </c>
      <c r="Q91" s="218"/>
      <c r="R91" s="218"/>
    </row>
    <row r="92" spans="2:18" ht="12.75" hidden="1" outlineLevel="1" x14ac:dyDescent="0.2">
      <c r="B92" s="191"/>
      <c r="C92" s="191"/>
      <c r="D92" s="99" t="s">
        <v>348</v>
      </c>
      <c r="E92" s="296">
        <v>0</v>
      </c>
      <c r="F92" s="311"/>
      <c r="G92" s="216"/>
      <c r="H92" s="216"/>
      <c r="I92" s="216"/>
      <c r="J92" s="216"/>
      <c r="K92" s="216"/>
      <c r="L92" s="216"/>
      <c r="M92" s="216"/>
      <c r="N92" s="99"/>
      <c r="O92" s="99"/>
      <c r="P92" s="243" t="s">
        <v>151</v>
      </c>
      <c r="Q92" s="218"/>
      <c r="R92" s="218"/>
    </row>
    <row r="93" spans="2:18" ht="12.75" hidden="1" outlineLevel="1" x14ac:dyDescent="0.2">
      <c r="B93" s="191"/>
      <c r="C93" s="191"/>
      <c r="D93" s="99" t="s">
        <v>349</v>
      </c>
      <c r="E93" s="296">
        <v>150</v>
      </c>
      <c r="F93" s="311"/>
      <c r="G93" s="216"/>
      <c r="H93" s="244"/>
      <c r="I93" s="244"/>
      <c r="J93" s="244"/>
      <c r="K93" s="244"/>
      <c r="L93" s="244"/>
      <c r="M93" s="244"/>
      <c r="N93" s="190"/>
      <c r="O93" s="190"/>
      <c r="P93" s="99" t="s">
        <v>350</v>
      </c>
      <c r="Q93" s="218"/>
      <c r="R93" s="218"/>
    </row>
    <row r="94" spans="2:18" ht="12.75" hidden="1" outlineLevel="1" x14ac:dyDescent="0.2">
      <c r="B94" s="191"/>
      <c r="C94" s="191"/>
      <c r="D94" s="99" t="s">
        <v>349</v>
      </c>
      <c r="E94" s="296">
        <v>200</v>
      </c>
      <c r="F94" s="311"/>
      <c r="G94" s="216"/>
      <c r="H94" s="244"/>
      <c r="I94" s="244"/>
      <c r="J94" s="244"/>
      <c r="K94" s="244"/>
      <c r="L94" s="244"/>
      <c r="M94" s="244"/>
      <c r="N94" s="190"/>
      <c r="O94" s="190"/>
      <c r="P94" s="99" t="s">
        <v>351</v>
      </c>
      <c r="Q94" s="218"/>
      <c r="R94" s="218"/>
    </row>
    <row r="95" spans="2:18" ht="12.75" hidden="1" outlineLevel="1" x14ac:dyDescent="0.2">
      <c r="B95" s="191"/>
      <c r="C95" s="191"/>
      <c r="D95" s="99" t="s">
        <v>349</v>
      </c>
      <c r="E95" s="296"/>
      <c r="F95" s="311"/>
      <c r="G95" s="216"/>
      <c r="H95" s="244"/>
      <c r="I95" s="244"/>
      <c r="J95" s="244"/>
      <c r="K95" s="244"/>
      <c r="L95" s="244"/>
      <c r="M95" s="244"/>
      <c r="N95" s="190"/>
      <c r="O95" s="190"/>
      <c r="P95" s="225" t="s">
        <v>352</v>
      </c>
      <c r="Q95" s="218"/>
      <c r="R95" s="218"/>
    </row>
    <row r="96" spans="2:18" ht="12.75" hidden="1" outlineLevel="1" x14ac:dyDescent="0.2">
      <c r="B96" s="191"/>
      <c r="C96" s="191"/>
      <c r="D96" s="99" t="s">
        <v>353</v>
      </c>
      <c r="E96" s="296">
        <f>(4*16.95 + 156) * 1.21</f>
        <v>270.798</v>
      </c>
      <c r="F96" s="311"/>
      <c r="G96" s="216"/>
      <c r="H96" s="216"/>
      <c r="I96" s="216"/>
      <c r="J96" s="216"/>
      <c r="K96" s="216"/>
      <c r="L96" s="216"/>
      <c r="M96" s="216"/>
      <c r="N96" s="99"/>
      <c r="O96" s="99"/>
      <c r="P96" s="243" t="s">
        <v>353</v>
      </c>
      <c r="Q96" s="218"/>
      <c r="R96" s="218"/>
    </row>
    <row r="97" spans="2:18" ht="12.75" hidden="1" outlineLevel="1" x14ac:dyDescent="0.2">
      <c r="B97" s="191"/>
      <c r="C97" s="191"/>
      <c r="D97" s="99" t="s">
        <v>353</v>
      </c>
      <c r="E97" s="296">
        <v>0</v>
      </c>
      <c r="F97" s="311"/>
      <c r="G97" s="216"/>
      <c r="H97" s="216"/>
      <c r="I97" s="216"/>
      <c r="J97" s="216"/>
      <c r="K97" s="216"/>
      <c r="L97" s="216"/>
      <c r="M97" s="216"/>
      <c r="N97" s="99"/>
      <c r="O97" s="99"/>
      <c r="P97" s="243" t="s">
        <v>354</v>
      </c>
      <c r="Q97" s="218"/>
      <c r="R97" s="218"/>
    </row>
    <row r="98" spans="2:18" ht="12.75" hidden="1" outlineLevel="1" x14ac:dyDescent="0.2">
      <c r="B98" s="191"/>
      <c r="C98" s="191"/>
      <c r="D98" s="99" t="s">
        <v>353</v>
      </c>
      <c r="E98" s="296">
        <v>0</v>
      </c>
      <c r="F98" s="311"/>
      <c r="G98" s="216"/>
      <c r="H98" s="216"/>
      <c r="I98" s="216"/>
      <c r="J98" s="216"/>
      <c r="K98" s="216"/>
      <c r="L98" s="216"/>
      <c r="M98" s="216"/>
      <c r="N98" s="99"/>
      <c r="O98" s="99"/>
      <c r="P98" s="99" t="s">
        <v>355</v>
      </c>
      <c r="Q98" s="218"/>
      <c r="R98" s="218"/>
    </row>
    <row r="99" spans="2:18" ht="12.75" hidden="1" outlineLevel="1" x14ac:dyDescent="0.2">
      <c r="B99" s="191"/>
      <c r="C99" s="191"/>
      <c r="D99" s="99" t="s">
        <v>356</v>
      </c>
      <c r="E99" s="296">
        <v>209</v>
      </c>
      <c r="F99" s="311"/>
      <c r="G99" s="216"/>
      <c r="H99" s="216"/>
      <c r="I99" s="216"/>
      <c r="J99" s="216"/>
      <c r="K99" s="216"/>
      <c r="L99" s="216"/>
      <c r="M99" s="216"/>
      <c r="N99" s="99"/>
      <c r="O99" s="99"/>
      <c r="P99" s="99" t="s">
        <v>138</v>
      </c>
      <c r="Q99" s="218"/>
      <c r="R99" s="218"/>
    </row>
    <row r="100" spans="2:18" ht="12.75" hidden="1" outlineLevel="1" x14ac:dyDescent="0.2">
      <c r="B100" s="191"/>
      <c r="C100" s="191"/>
      <c r="D100" s="99" t="s">
        <v>356</v>
      </c>
      <c r="E100" s="296">
        <v>636</v>
      </c>
      <c r="F100" s="311"/>
      <c r="G100" s="216"/>
      <c r="H100" s="216"/>
      <c r="I100" s="216"/>
      <c r="J100" s="216"/>
      <c r="K100" s="216"/>
      <c r="L100" s="216"/>
      <c r="M100" s="216"/>
      <c r="N100" s="99"/>
      <c r="O100" s="99"/>
      <c r="P100" s="99" t="s">
        <v>357</v>
      </c>
      <c r="Q100" s="218"/>
      <c r="R100" s="218"/>
    </row>
    <row r="101" spans="2:18" ht="12.75" hidden="1" outlineLevel="1" x14ac:dyDescent="0.2">
      <c r="B101" s="191"/>
      <c r="C101" s="191"/>
      <c r="D101" s="99" t="s">
        <v>356</v>
      </c>
      <c r="E101" s="296">
        <v>399</v>
      </c>
      <c r="F101" s="311"/>
      <c r="G101" s="216"/>
      <c r="H101" s="216"/>
      <c r="I101" s="216"/>
      <c r="J101" s="216"/>
      <c r="K101" s="216"/>
      <c r="L101" s="216"/>
      <c r="M101" s="216"/>
      <c r="N101" s="99"/>
      <c r="O101" s="99"/>
      <c r="P101" s="99" t="s">
        <v>358</v>
      </c>
      <c r="Q101" s="218"/>
      <c r="R101" s="218"/>
    </row>
    <row r="102" spans="2:18" ht="12.75" hidden="1" outlineLevel="1" x14ac:dyDescent="0.2">
      <c r="B102" s="191"/>
      <c r="C102" s="191"/>
      <c r="D102" s="99" t="s">
        <v>356</v>
      </c>
      <c r="E102" s="296">
        <v>660</v>
      </c>
      <c r="F102" s="311"/>
      <c r="G102" s="216"/>
      <c r="H102" s="216"/>
      <c r="I102" s="216"/>
      <c r="J102" s="216"/>
      <c r="K102" s="216"/>
      <c r="L102" s="216"/>
      <c r="M102" s="216"/>
      <c r="N102" s="99"/>
      <c r="O102" s="99"/>
      <c r="P102" s="99" t="s">
        <v>139</v>
      </c>
      <c r="Q102" s="218"/>
      <c r="R102" s="218"/>
    </row>
    <row r="103" spans="2:18" ht="12.75" hidden="1" outlineLevel="1" x14ac:dyDescent="0.2">
      <c r="B103" s="191"/>
      <c r="C103" s="191"/>
      <c r="D103" s="99" t="s">
        <v>356</v>
      </c>
      <c r="E103" s="296">
        <v>240</v>
      </c>
      <c r="F103" s="311"/>
      <c r="G103" s="216"/>
      <c r="H103" s="216"/>
      <c r="I103" s="216"/>
      <c r="J103" s="216"/>
      <c r="K103" s="216"/>
      <c r="L103" s="216"/>
      <c r="M103" s="216"/>
      <c r="N103" s="99"/>
      <c r="O103" s="99"/>
      <c r="P103" s="99" t="s">
        <v>140</v>
      </c>
      <c r="Q103" s="218"/>
      <c r="R103" s="218"/>
    </row>
    <row r="104" spans="2:18" ht="12.75" hidden="1" outlineLevel="1" x14ac:dyDescent="0.2">
      <c r="B104" s="191"/>
      <c r="C104" s="191"/>
      <c r="D104" s="99" t="s">
        <v>356</v>
      </c>
      <c r="E104" s="296">
        <v>0</v>
      </c>
      <c r="F104" s="311"/>
      <c r="G104" s="216"/>
      <c r="H104" s="216"/>
      <c r="I104" s="216"/>
      <c r="J104" s="216"/>
      <c r="K104" s="216"/>
      <c r="L104" s="216"/>
      <c r="M104" s="216"/>
      <c r="N104" s="99"/>
      <c r="O104" s="99"/>
      <c r="P104" s="225" t="s">
        <v>141</v>
      </c>
      <c r="Q104" s="218"/>
      <c r="R104" s="218"/>
    </row>
    <row r="105" spans="2:18" ht="12.75" hidden="1" outlineLevel="1" x14ac:dyDescent="0.2">
      <c r="B105" s="191"/>
      <c r="C105" s="191"/>
      <c r="D105" s="99" t="s">
        <v>356</v>
      </c>
      <c r="E105" s="296">
        <f>12*22.4</f>
        <v>268.79999999999995</v>
      </c>
      <c r="F105" s="311"/>
      <c r="G105" s="216"/>
      <c r="H105" s="216"/>
      <c r="I105" s="216"/>
      <c r="J105" s="216"/>
      <c r="K105" s="216"/>
      <c r="L105" s="216"/>
      <c r="M105" s="216"/>
      <c r="N105" s="99"/>
      <c r="O105" s="99"/>
      <c r="P105" s="99" t="s">
        <v>142</v>
      </c>
      <c r="Q105" s="218"/>
      <c r="R105" s="218"/>
    </row>
    <row r="106" spans="2:18" ht="12.75" hidden="1" outlineLevel="1" x14ac:dyDescent="0.2">
      <c r="B106" s="191"/>
      <c r="C106" s="191"/>
      <c r="D106" s="99" t="s">
        <v>359</v>
      </c>
      <c r="E106" s="296">
        <v>150</v>
      </c>
      <c r="F106" s="311"/>
      <c r="G106" s="216"/>
      <c r="H106" s="216"/>
      <c r="I106" s="216"/>
      <c r="J106" s="216"/>
      <c r="K106" s="216"/>
      <c r="L106" s="216"/>
      <c r="M106" s="216"/>
      <c r="N106" s="99"/>
      <c r="O106" s="99"/>
      <c r="P106" s="225" t="s">
        <v>158</v>
      </c>
      <c r="Q106" s="218"/>
      <c r="R106" s="218"/>
    </row>
    <row r="107" spans="2:18" ht="12.75" hidden="1" outlineLevel="1" x14ac:dyDescent="0.2">
      <c r="B107" s="191"/>
      <c r="C107" s="191"/>
      <c r="D107" s="99" t="s">
        <v>359</v>
      </c>
      <c r="E107" s="296">
        <v>50</v>
      </c>
      <c r="F107" s="311"/>
      <c r="G107" s="216"/>
      <c r="H107" s="216"/>
      <c r="I107" s="216"/>
      <c r="J107" s="216"/>
      <c r="K107" s="216"/>
      <c r="L107" s="216"/>
      <c r="M107" s="216"/>
      <c r="N107" s="99"/>
      <c r="O107" s="99"/>
      <c r="P107" s="225" t="s">
        <v>159</v>
      </c>
      <c r="Q107" s="218"/>
      <c r="R107" s="218"/>
    </row>
    <row r="108" spans="2:18" ht="12.75" hidden="1" outlineLevel="1" x14ac:dyDescent="0.2">
      <c r="B108" s="191"/>
      <c r="C108" s="191"/>
      <c r="D108" s="99" t="s">
        <v>359</v>
      </c>
      <c r="E108" s="296">
        <v>0</v>
      </c>
      <c r="F108" s="311"/>
      <c r="G108" s="216"/>
      <c r="H108" s="216"/>
      <c r="I108" s="216"/>
      <c r="J108" s="216"/>
      <c r="K108" s="216"/>
      <c r="L108" s="216"/>
      <c r="M108" s="216"/>
      <c r="N108" s="99"/>
      <c r="O108" s="99"/>
      <c r="P108" s="225" t="s">
        <v>160</v>
      </c>
      <c r="Q108" s="218"/>
      <c r="R108" s="218"/>
    </row>
    <row r="109" spans="2:18" ht="12.75" hidden="1" outlineLevel="1" x14ac:dyDescent="0.2">
      <c r="B109" s="191"/>
      <c r="C109" s="191"/>
      <c r="D109" s="99" t="s">
        <v>359</v>
      </c>
      <c r="E109" s="296">
        <v>75</v>
      </c>
      <c r="F109" s="311"/>
      <c r="G109" s="216"/>
      <c r="H109" s="216"/>
      <c r="I109" s="216"/>
      <c r="J109" s="216"/>
      <c r="K109" s="216"/>
      <c r="L109" s="216"/>
      <c r="M109" s="216"/>
      <c r="N109" s="99"/>
      <c r="O109" s="99"/>
      <c r="P109" s="225" t="s">
        <v>161</v>
      </c>
      <c r="Q109" s="218"/>
      <c r="R109" s="218"/>
    </row>
    <row r="110" spans="2:18" ht="12.75" hidden="1" outlineLevel="1" x14ac:dyDescent="0.2">
      <c r="B110" s="191"/>
      <c r="C110" s="191"/>
      <c r="D110" s="99" t="s">
        <v>359</v>
      </c>
      <c r="E110" s="296">
        <v>95</v>
      </c>
      <c r="F110" s="311"/>
      <c r="G110" s="216"/>
      <c r="H110" s="216"/>
      <c r="I110" s="216"/>
      <c r="J110" s="216"/>
      <c r="K110" s="216"/>
      <c r="L110" s="216"/>
      <c r="M110" s="216"/>
      <c r="N110" s="99"/>
      <c r="O110" s="99"/>
      <c r="P110" s="225" t="s">
        <v>162</v>
      </c>
      <c r="Q110" s="218"/>
      <c r="R110" s="218"/>
    </row>
    <row r="111" spans="2:18" ht="12.75" hidden="1" outlineLevel="1" x14ac:dyDescent="0.2">
      <c r="B111" s="191"/>
      <c r="C111" s="191"/>
      <c r="D111" s="99" t="s">
        <v>359</v>
      </c>
      <c r="E111" s="296">
        <v>0</v>
      </c>
      <c r="F111" s="311"/>
      <c r="G111" s="216"/>
      <c r="H111" s="216"/>
      <c r="I111" s="216"/>
      <c r="J111" s="216"/>
      <c r="K111" s="216"/>
      <c r="L111" s="216"/>
      <c r="M111" s="216"/>
      <c r="N111" s="99"/>
      <c r="O111" s="99"/>
      <c r="P111" s="225" t="s">
        <v>163</v>
      </c>
      <c r="Q111" s="218"/>
      <c r="R111" s="218"/>
    </row>
    <row r="112" spans="2:18" ht="12.75" hidden="1" outlineLevel="1" x14ac:dyDescent="0.2">
      <c r="B112" s="191"/>
      <c r="C112" s="191"/>
      <c r="D112" s="99" t="s">
        <v>359</v>
      </c>
      <c r="E112" s="296">
        <v>0</v>
      </c>
      <c r="F112" s="311"/>
      <c r="G112" s="216"/>
      <c r="H112" s="216"/>
      <c r="I112" s="216"/>
      <c r="J112" s="216"/>
      <c r="K112" s="216"/>
      <c r="L112" s="216"/>
      <c r="M112" s="216"/>
      <c r="N112" s="99"/>
      <c r="O112" s="99"/>
      <c r="P112" s="225" t="s">
        <v>164</v>
      </c>
      <c r="Q112" s="218"/>
      <c r="R112" s="218"/>
    </row>
    <row r="113" spans="2:18" ht="12.75" hidden="1" outlineLevel="1" x14ac:dyDescent="0.2">
      <c r="B113" s="191"/>
      <c r="C113" s="191"/>
      <c r="D113" s="99" t="s">
        <v>359</v>
      </c>
      <c r="E113" s="296">
        <v>0</v>
      </c>
      <c r="F113" s="311"/>
      <c r="G113" s="216"/>
      <c r="H113" s="216"/>
      <c r="I113" s="216"/>
      <c r="J113" s="216"/>
      <c r="K113" s="216"/>
      <c r="L113" s="216"/>
      <c r="M113" s="216"/>
      <c r="N113" s="99"/>
      <c r="O113" s="99"/>
      <c r="P113" s="225" t="s">
        <v>165</v>
      </c>
      <c r="Q113" s="218"/>
      <c r="R113" s="218"/>
    </row>
    <row r="114" spans="2:18" ht="12.75" hidden="1" outlineLevel="1" x14ac:dyDescent="0.2">
      <c r="B114" s="191"/>
      <c r="C114" s="191"/>
      <c r="D114" s="99" t="s">
        <v>359</v>
      </c>
      <c r="E114" s="296">
        <v>0</v>
      </c>
      <c r="F114" s="311"/>
      <c r="G114" s="216"/>
      <c r="H114" s="216"/>
      <c r="I114" s="216"/>
      <c r="J114" s="216"/>
      <c r="K114" s="216"/>
      <c r="L114" s="216"/>
      <c r="M114" s="216"/>
      <c r="N114" s="99"/>
      <c r="O114" s="99"/>
      <c r="P114" s="225" t="s">
        <v>166</v>
      </c>
      <c r="Q114" s="218"/>
      <c r="R114" s="218"/>
    </row>
    <row r="115" spans="2:18" ht="12.75" hidden="1" outlineLevel="1" x14ac:dyDescent="0.2">
      <c r="B115" s="191"/>
      <c r="C115" s="191"/>
      <c r="D115" s="99" t="s">
        <v>359</v>
      </c>
      <c r="E115" s="296">
        <v>143</v>
      </c>
      <c r="F115" s="311"/>
      <c r="G115" s="216"/>
      <c r="H115" s="216"/>
      <c r="I115" s="216"/>
      <c r="J115" s="216"/>
      <c r="K115" s="216"/>
      <c r="L115" s="216"/>
      <c r="M115" s="216"/>
      <c r="N115" s="99"/>
      <c r="O115" s="99"/>
      <c r="P115" s="225" t="s">
        <v>167</v>
      </c>
      <c r="Q115" s="218"/>
      <c r="R115" s="218"/>
    </row>
    <row r="116" spans="2:18" ht="12.75" hidden="1" outlineLevel="1" x14ac:dyDescent="0.2">
      <c r="B116" s="191"/>
      <c r="C116" s="191"/>
      <c r="D116" s="99" t="s">
        <v>359</v>
      </c>
      <c r="E116" s="296">
        <v>0</v>
      </c>
      <c r="F116" s="311"/>
      <c r="G116" s="216"/>
      <c r="H116" s="216"/>
      <c r="I116" s="216"/>
      <c r="J116" s="216"/>
      <c r="K116" s="216"/>
      <c r="L116" s="216"/>
      <c r="M116" s="216"/>
      <c r="N116" s="99"/>
      <c r="O116" s="99"/>
      <c r="P116" s="99" t="s">
        <v>168</v>
      </c>
      <c r="Q116" s="218"/>
      <c r="R116" s="218"/>
    </row>
    <row r="117" spans="2:18" ht="12.75" hidden="1" outlineLevel="1" x14ac:dyDescent="0.2">
      <c r="B117" s="191"/>
      <c r="C117" s="191"/>
      <c r="D117" s="99" t="s">
        <v>154</v>
      </c>
      <c r="E117" s="296">
        <v>600</v>
      </c>
      <c r="F117" s="311"/>
      <c r="G117" s="216"/>
      <c r="H117" s="216"/>
      <c r="I117" s="216"/>
      <c r="J117" s="216"/>
      <c r="K117" s="216"/>
      <c r="L117" s="216"/>
      <c r="M117" s="216"/>
      <c r="N117" s="99"/>
      <c r="O117" s="99"/>
      <c r="P117" s="243" t="s">
        <v>154</v>
      </c>
      <c r="Q117" s="218"/>
      <c r="R117" s="218"/>
    </row>
    <row r="118" spans="2:18" ht="12.75" hidden="1" outlineLevel="1" x14ac:dyDescent="0.2">
      <c r="B118" s="191"/>
      <c r="C118" s="191"/>
      <c r="D118" s="99" t="s">
        <v>360</v>
      </c>
      <c r="E118" s="296">
        <v>10</v>
      </c>
      <c r="F118" s="311"/>
      <c r="G118" s="216"/>
      <c r="H118" s="216"/>
      <c r="I118" s="216"/>
      <c r="J118" s="216"/>
      <c r="K118" s="216"/>
      <c r="L118" s="216"/>
      <c r="M118" s="216"/>
      <c r="N118" s="99"/>
      <c r="O118" s="99"/>
      <c r="P118" s="243" t="s">
        <v>361</v>
      </c>
      <c r="Q118" s="218"/>
      <c r="R118" s="218"/>
    </row>
    <row r="119" spans="2:18" ht="12.75" hidden="1" outlineLevel="1" x14ac:dyDescent="0.2">
      <c r="B119" s="191"/>
      <c r="C119" s="191"/>
      <c r="D119" s="99" t="s">
        <v>362</v>
      </c>
      <c r="E119" s="296">
        <v>0</v>
      </c>
      <c r="F119" s="311"/>
      <c r="G119" s="216"/>
      <c r="H119" s="216"/>
      <c r="I119" s="216"/>
      <c r="J119" s="216"/>
      <c r="K119" s="216"/>
      <c r="L119" s="216"/>
      <c r="M119" s="216"/>
      <c r="N119" s="99"/>
      <c r="O119" s="99"/>
      <c r="P119" s="241" t="s">
        <v>155</v>
      </c>
      <c r="Q119" s="218"/>
      <c r="R119" s="218"/>
    </row>
    <row r="120" spans="2:18" ht="12.75" hidden="1" outlineLevel="1" x14ac:dyDescent="0.2">
      <c r="B120" s="191"/>
      <c r="C120" s="191"/>
      <c r="D120" s="99" t="s">
        <v>363</v>
      </c>
      <c r="E120" s="296">
        <v>250</v>
      </c>
      <c r="F120" s="313"/>
      <c r="G120" s="221"/>
      <c r="H120" s="221"/>
      <c r="I120" s="221"/>
      <c r="J120" s="221"/>
      <c r="K120" s="221"/>
      <c r="L120" s="221"/>
      <c r="M120" s="221"/>
      <c r="N120" s="217"/>
      <c r="O120" s="217"/>
      <c r="P120" s="243" t="s">
        <v>364</v>
      </c>
      <c r="Q120" s="218"/>
      <c r="R120" s="218"/>
    </row>
    <row r="121" spans="2:18" ht="12.75" hidden="1" outlineLevel="1" x14ac:dyDescent="0.2">
      <c r="B121" s="191"/>
      <c r="C121" s="191"/>
      <c r="D121" s="217" t="s">
        <v>331</v>
      </c>
      <c r="E121" s="312">
        <v>0</v>
      </c>
      <c r="F121" s="313"/>
      <c r="G121" s="221"/>
      <c r="H121" s="221"/>
      <c r="I121" s="221"/>
      <c r="J121" s="221"/>
      <c r="K121" s="221"/>
      <c r="L121" s="221"/>
      <c r="M121" s="221"/>
      <c r="N121" s="217"/>
      <c r="O121" s="217"/>
      <c r="P121" s="217" t="s">
        <v>340</v>
      </c>
      <c r="Q121" s="218"/>
      <c r="R121" s="218"/>
    </row>
    <row r="122" spans="2:18" ht="12.75" collapsed="1" x14ac:dyDescent="0.2">
      <c r="B122" s="191"/>
      <c r="C122" s="245" t="s">
        <v>365</v>
      </c>
      <c r="D122" s="191"/>
      <c r="E122" s="296"/>
      <c r="F122" s="311">
        <f>CEILING(SUM(E123:E124),100)</f>
        <v>29600</v>
      </c>
      <c r="G122" s="216">
        <v>0</v>
      </c>
      <c r="H122" s="216"/>
      <c r="I122" s="216"/>
      <c r="J122" s="216"/>
      <c r="K122" s="216"/>
      <c r="L122" s="216"/>
      <c r="M122" s="216"/>
      <c r="N122" s="99"/>
      <c r="O122" s="99"/>
      <c r="P122" s="190" t="s">
        <v>366</v>
      </c>
      <c r="Q122" s="218"/>
      <c r="R122" s="218"/>
    </row>
    <row r="123" spans="2:18" ht="12.75" hidden="1" outlineLevel="1" x14ac:dyDescent="0.2">
      <c r="B123" s="191"/>
      <c r="C123" s="191"/>
      <c r="D123" s="191" t="s">
        <v>367</v>
      </c>
      <c r="E123" s="296">
        <f>MROUND(DMIgrant,100)</f>
        <v>22900</v>
      </c>
      <c r="F123" s="311"/>
      <c r="G123" s="216"/>
      <c r="H123" s="216"/>
      <c r="I123" s="216"/>
      <c r="J123" s="216"/>
      <c r="K123" s="216"/>
      <c r="L123" s="216"/>
      <c r="M123" s="216"/>
      <c r="N123" s="99"/>
      <c r="O123" s="99"/>
      <c r="P123" s="190"/>
      <c r="Q123" s="218"/>
      <c r="R123" s="218"/>
    </row>
    <row r="124" spans="2:18" ht="12.75" hidden="1" outlineLevel="1" x14ac:dyDescent="0.2">
      <c r="B124" s="191"/>
      <c r="C124" s="191"/>
      <c r="D124" s="191" t="s">
        <v>368</v>
      </c>
      <c r="E124" s="296">
        <f>ACUgrant/0.75</f>
        <v>6666.666666666667</v>
      </c>
      <c r="F124" s="311"/>
      <c r="G124" s="216"/>
      <c r="H124" s="216"/>
      <c r="I124" s="216"/>
      <c r="J124" s="216"/>
      <c r="K124" s="216"/>
      <c r="L124" s="216"/>
      <c r="M124" s="216"/>
      <c r="N124" s="99"/>
      <c r="O124" s="99"/>
      <c r="P124" s="190"/>
      <c r="Q124" s="218"/>
      <c r="R124" s="218"/>
    </row>
    <row r="125" spans="2:18" ht="12.75" x14ac:dyDescent="0.2">
      <c r="B125" s="191"/>
      <c r="C125" s="191" t="s">
        <v>369</v>
      </c>
      <c r="D125" s="191"/>
      <c r="E125" s="296"/>
      <c r="F125" s="311">
        <v>0</v>
      </c>
      <c r="G125" s="216">
        <v>1122</v>
      </c>
      <c r="H125" s="216">
        <v>0</v>
      </c>
      <c r="I125" s="216">
        <v>0</v>
      </c>
      <c r="J125" s="216">
        <v>0</v>
      </c>
      <c r="K125" s="216">
        <v>0</v>
      </c>
      <c r="L125" s="216">
        <v>0</v>
      </c>
      <c r="M125" s="216">
        <v>0</v>
      </c>
      <c r="N125" s="99"/>
      <c r="O125" s="99"/>
      <c r="P125" s="99" t="s">
        <v>370</v>
      </c>
      <c r="Q125" s="218"/>
      <c r="R125" s="218"/>
    </row>
    <row r="126" spans="2:18" ht="12.75" hidden="1" x14ac:dyDescent="0.2">
      <c r="C126" s="219" t="s">
        <v>371</v>
      </c>
    </row>
    <row r="127" spans="2:18" ht="12.75" collapsed="1" x14ac:dyDescent="0.2">
      <c r="B127" s="191"/>
      <c r="C127" s="191" t="s">
        <v>372</v>
      </c>
      <c r="D127" s="191"/>
      <c r="E127" s="296"/>
      <c r="F127" s="311">
        <f>CEILING(SUM(E128:E129),100)</f>
        <v>3200</v>
      </c>
      <c r="G127" s="216">
        <f>21+698</f>
        <v>719</v>
      </c>
      <c r="H127" s="216">
        <v>379</v>
      </c>
      <c r="I127" s="216">
        <v>51</v>
      </c>
      <c r="J127" s="216">
        <v>673</v>
      </c>
      <c r="K127" s="216">
        <v>4192</v>
      </c>
      <c r="L127" s="216">
        <v>2755</v>
      </c>
      <c r="M127" s="216">
        <v>4103</v>
      </c>
      <c r="N127" s="99"/>
      <c r="O127" s="99"/>
      <c r="P127" s="191"/>
      <c r="Q127" s="218"/>
      <c r="R127" s="218"/>
    </row>
    <row r="128" spans="2:18" ht="12.75" hidden="1" outlineLevel="1" x14ac:dyDescent="0.2">
      <c r="B128" s="191"/>
      <c r="C128" s="191"/>
      <c r="D128" s="191" t="s">
        <v>373</v>
      </c>
      <c r="E128" s="296">
        <f>'[2]Fall Concert'!F47</f>
        <v>2355</v>
      </c>
      <c r="G128" s="216"/>
      <c r="H128" s="216"/>
      <c r="I128" s="216"/>
      <c r="J128" s="216"/>
      <c r="K128" s="216"/>
      <c r="L128" s="216"/>
      <c r="M128" s="216"/>
      <c r="N128" s="99"/>
      <c r="O128" s="99"/>
      <c r="P128" s="191"/>
      <c r="Q128" s="218"/>
      <c r="R128" s="218"/>
    </row>
    <row r="129" spans="1:18" ht="12.75" hidden="1" outlineLevel="1" x14ac:dyDescent="0.2">
      <c r="B129" s="191"/>
      <c r="C129" s="191"/>
      <c r="D129" s="191" t="s">
        <v>194</v>
      </c>
      <c r="E129" s="296">
        <v>800</v>
      </c>
      <c r="F129" s="311"/>
      <c r="G129" s="216"/>
      <c r="H129" s="216"/>
      <c r="I129" s="216"/>
      <c r="J129" s="216"/>
      <c r="K129" s="216"/>
      <c r="L129" s="216"/>
      <c r="M129" s="216"/>
      <c r="N129" s="99"/>
      <c r="O129" s="99"/>
      <c r="P129" s="191"/>
      <c r="Q129" s="218"/>
      <c r="R129" s="218"/>
    </row>
    <row r="130" spans="1:18" ht="12.75" x14ac:dyDescent="0.2">
      <c r="B130" s="238" t="s">
        <v>374</v>
      </c>
      <c r="C130" s="238"/>
      <c r="D130" s="238"/>
      <c r="E130" s="324"/>
      <c r="F130" s="325">
        <f t="shared" ref="F130:M130" si="10">SUM(F85:F129)</f>
        <v>42600</v>
      </c>
      <c r="G130" s="239">
        <f t="shared" si="10"/>
        <v>12350.470000000001</v>
      </c>
      <c r="H130" s="228">
        <f t="shared" si="10"/>
        <v>22055.7</v>
      </c>
      <c r="I130" s="228">
        <f t="shared" si="10"/>
        <v>8072.7</v>
      </c>
      <c r="J130" s="228">
        <f t="shared" si="10"/>
        <v>4689.8500000000004</v>
      </c>
      <c r="K130" s="228">
        <f t="shared" si="10"/>
        <v>8676.75</v>
      </c>
      <c r="L130" s="228">
        <f t="shared" si="10"/>
        <v>6268.35</v>
      </c>
      <c r="M130" s="228">
        <f t="shared" si="10"/>
        <v>7349.95</v>
      </c>
      <c r="N130" s="99"/>
      <c r="O130" s="99"/>
      <c r="P130" s="99" t="str">
        <f>CONCATENATE("Note: 2022 mgmt ratio = ",MROUND((F130/(F130+F82))*100,1),"% IF we get the PowerUP grant (cell E21) AND it's categorized as mgmt+admin")</f>
        <v>Note: 2022 mgmt ratio = 36% IF we get the PowerUP grant (cell E21) AND it's categorized as mgmt+admin</v>
      </c>
      <c r="Q130" s="246" t="str">
        <f>C63</f>
        <v>PIE</v>
      </c>
      <c r="R130" s="247">
        <f>F63</f>
        <v>23000</v>
      </c>
    </row>
    <row r="131" spans="1:18" ht="12.75" x14ac:dyDescent="0.2">
      <c r="B131" s="185"/>
      <c r="C131" s="246"/>
      <c r="D131" s="246"/>
      <c r="E131" s="296"/>
      <c r="F131" s="311"/>
      <c r="G131" s="248"/>
      <c r="H131" s="248"/>
      <c r="I131" s="248"/>
      <c r="J131" s="248"/>
      <c r="K131" s="248"/>
      <c r="L131" s="248"/>
      <c r="M131" s="248"/>
      <c r="N131" s="99"/>
      <c r="O131" s="99"/>
      <c r="P131" s="99"/>
      <c r="Q131" s="246"/>
      <c r="R131" s="246"/>
    </row>
    <row r="132" spans="1:18" ht="12.75" x14ac:dyDescent="0.2">
      <c r="B132" s="249" t="s">
        <v>375</v>
      </c>
      <c r="C132" s="238"/>
      <c r="D132" s="238"/>
      <c r="E132" s="326"/>
      <c r="F132" s="327">
        <f t="shared" ref="F132:M132" si="11">F82+F130</f>
        <v>118900</v>
      </c>
      <c r="G132" s="228">
        <f t="shared" si="11"/>
        <v>74196.12</v>
      </c>
      <c r="H132" s="248">
        <f t="shared" si="11"/>
        <v>81402</v>
      </c>
      <c r="I132" s="248">
        <f t="shared" si="11"/>
        <v>46542</v>
      </c>
      <c r="J132" s="248">
        <f t="shared" si="11"/>
        <v>35605</v>
      </c>
      <c r="K132" s="248">
        <f t="shared" si="11"/>
        <v>32815</v>
      </c>
      <c r="L132" s="248">
        <f t="shared" si="11"/>
        <v>29003</v>
      </c>
      <c r="M132" s="248">
        <f t="shared" si="11"/>
        <v>32419</v>
      </c>
      <c r="N132" s="99"/>
      <c r="O132" s="99"/>
      <c r="P132" s="99" t="str">
        <f>CONCATENATE("Note: 2021 mgmt ratio = ",MROUND((G130/(G130+G82))*100,1),"%")</f>
        <v>Note: 2021 mgmt ratio = 17%</v>
      </c>
      <c r="Q132" s="246" t="str">
        <f>C69</f>
        <v>EDEN</v>
      </c>
      <c r="R132" s="247">
        <f>F69</f>
        <v>16300</v>
      </c>
    </row>
    <row r="133" spans="1:18" ht="12.75" x14ac:dyDescent="0.2">
      <c r="B133" s="185"/>
      <c r="C133" s="185"/>
      <c r="D133" s="185"/>
      <c r="E133" s="296"/>
      <c r="F133" s="311"/>
      <c r="G133" s="216"/>
      <c r="H133" s="216"/>
      <c r="I133" s="216"/>
      <c r="J133" s="216"/>
      <c r="K133" s="216"/>
      <c r="L133" s="216"/>
      <c r="M133" s="216"/>
      <c r="N133" s="99"/>
      <c r="O133" s="99"/>
      <c r="P133" s="99"/>
      <c r="Q133" s="246"/>
      <c r="R133" s="246"/>
    </row>
    <row r="134" spans="1:18" ht="12.75" x14ac:dyDescent="0.2">
      <c r="B134" s="185" t="s">
        <v>376</v>
      </c>
      <c r="C134" s="185"/>
      <c r="D134" s="185"/>
      <c r="E134" s="328">
        <v>1.4999999999999999E-2</v>
      </c>
      <c r="F134" s="311">
        <f>CEILING(F132*E134,100)</f>
        <v>1800</v>
      </c>
      <c r="G134" s="216">
        <v>0</v>
      </c>
      <c r="H134" s="216"/>
      <c r="I134" s="216"/>
      <c r="J134" s="216"/>
      <c r="K134" s="216"/>
      <c r="L134" s="216"/>
      <c r="M134" s="216"/>
      <c r="N134" s="99"/>
      <c r="O134" s="99"/>
      <c r="P134" s="99" t="e">
        <f>CONCATENATE("Note: contigency = ",MROUND((#REF!/F59)*100,0.1),"% of revenue")</f>
        <v>#REF!</v>
      </c>
      <c r="Q134" s="246"/>
      <c r="R134" s="246"/>
    </row>
    <row r="135" spans="1:18" ht="15" x14ac:dyDescent="0.25">
      <c r="B135" s="190" t="s">
        <v>377</v>
      </c>
      <c r="C135" s="185"/>
      <c r="D135" s="185"/>
      <c r="E135" s="328">
        <v>0</v>
      </c>
      <c r="F135" s="311">
        <f>F59*E135</f>
        <v>0</v>
      </c>
      <c r="G135" s="216">
        <v>0</v>
      </c>
      <c r="H135" s="216"/>
      <c r="I135" s="216"/>
      <c r="J135" s="216"/>
      <c r="K135" s="216"/>
      <c r="L135" s="216"/>
      <c r="M135" s="216"/>
      <c r="N135" s="99"/>
      <c r="O135" s="250" t="e">
        <f>#REF!/(F82+F130)</f>
        <v>#REF!</v>
      </c>
      <c r="P135" s="99"/>
      <c r="Q135" s="251"/>
      <c r="R135" s="246"/>
    </row>
    <row r="136" spans="1:18" ht="12.75" x14ac:dyDescent="0.2">
      <c r="A136" s="185"/>
      <c r="B136" s="185"/>
      <c r="C136" s="185"/>
      <c r="D136" s="185"/>
      <c r="E136" s="296"/>
      <c r="F136" s="311"/>
      <c r="G136" s="216"/>
      <c r="H136" s="216"/>
      <c r="I136" s="216"/>
      <c r="J136" s="216"/>
      <c r="K136" s="216"/>
      <c r="L136" s="216"/>
      <c r="M136" s="216"/>
      <c r="N136" s="99"/>
      <c r="O136" s="99"/>
      <c r="P136" s="99"/>
      <c r="Q136" s="246"/>
      <c r="R136" s="246"/>
    </row>
    <row r="137" spans="1:18" ht="12.75" x14ac:dyDescent="0.2">
      <c r="A137" s="226" t="s">
        <v>16</v>
      </c>
      <c r="B137" s="227"/>
      <c r="C137" s="227"/>
      <c r="D137" s="226"/>
      <c r="E137" s="317"/>
      <c r="F137" s="318">
        <f t="shared" ref="F137:G137" si="12">F132+F134+F135</f>
        <v>120700</v>
      </c>
      <c r="G137" s="228">
        <f t="shared" si="12"/>
        <v>74196.12</v>
      </c>
      <c r="H137" s="216"/>
      <c r="I137" s="216"/>
      <c r="J137" s="216"/>
      <c r="K137" s="216"/>
      <c r="L137" s="216"/>
      <c r="M137" s="216"/>
      <c r="N137" s="99"/>
      <c r="O137" s="99"/>
      <c r="P137" s="99"/>
      <c r="Q137" s="246"/>
      <c r="R137" s="246"/>
    </row>
    <row r="138" spans="1:18" ht="12.75" x14ac:dyDescent="0.2">
      <c r="A138" s="185"/>
      <c r="B138" s="185"/>
      <c r="C138" s="185"/>
      <c r="D138" s="185"/>
      <c r="E138" s="296"/>
      <c r="F138" s="311"/>
      <c r="G138" s="216"/>
      <c r="H138" s="216"/>
      <c r="I138" s="216"/>
      <c r="J138" s="216"/>
      <c r="K138" s="216"/>
      <c r="L138" s="216"/>
      <c r="M138" s="216"/>
      <c r="N138" s="99"/>
      <c r="O138" s="99"/>
      <c r="P138" s="99" t="str">
        <f>CONCATENATE("Note: total VRRR = $",E68+E76++E120," (see program &amp; mgmt+admin line items) + what the Valet spends")</f>
        <v>Note: total VRRR = $1200 (see program &amp; mgmt+admin line items) + what the Valet spends</v>
      </c>
      <c r="Q138" s="246" t="str">
        <f>C77</f>
        <v>CIPS</v>
      </c>
      <c r="R138" s="247">
        <f>F77</f>
        <v>37000</v>
      </c>
    </row>
    <row r="139" spans="1:18" ht="13.5" thickBot="1" x14ac:dyDescent="0.25">
      <c r="A139" s="252" t="s">
        <v>378</v>
      </c>
      <c r="B139" s="168"/>
      <c r="C139" s="168"/>
      <c r="D139" s="253"/>
      <c r="E139" s="329"/>
      <c r="F139" s="330">
        <f t="shared" ref="F139:G139" si="13">F59-F137</f>
        <v>300</v>
      </c>
      <c r="G139" s="254">
        <f t="shared" si="13"/>
        <v>36336.880000000005</v>
      </c>
      <c r="H139" s="254">
        <f t="shared" ref="H139:M139" si="14">H59-H82-H130</f>
        <v>-3956.0000000000036</v>
      </c>
      <c r="I139" s="254">
        <f t="shared" si="14"/>
        <v>-3541.0000000000027</v>
      </c>
      <c r="J139" s="254">
        <f t="shared" si="14"/>
        <v>1773.9999999999982</v>
      </c>
      <c r="K139" s="254">
        <f t="shared" si="14"/>
        <v>5256</v>
      </c>
      <c r="L139" s="254">
        <f t="shared" si="14"/>
        <v>-3559.0000000000018</v>
      </c>
      <c r="M139" s="254">
        <f t="shared" si="14"/>
        <v>-2623.9999999999991</v>
      </c>
      <c r="N139" s="99"/>
      <c r="O139" s="99"/>
      <c r="P139" s="99" t="str">
        <f>CONCATENATE("Note: variance (contingency) = ",MROUND((ABS(F139)/F59)*100,0.1),"% of revenue")</f>
        <v>Note: variance (contingency) = 0.2% of revenue</v>
      </c>
      <c r="Q139" s="246" t="str">
        <f>B84</f>
        <v>Other Expenses</v>
      </c>
      <c r="R139" s="247">
        <f>F130</f>
        <v>42600</v>
      </c>
    </row>
    <row r="140" spans="1:18" ht="14.25" thickTop="1" thickBot="1" x14ac:dyDescent="0.25">
      <c r="A140" s="99" t="s">
        <v>379</v>
      </c>
      <c r="B140" s="185"/>
      <c r="C140" s="185"/>
      <c r="D140" s="185"/>
      <c r="E140" s="296"/>
      <c r="F140" s="311"/>
      <c r="G140" s="188"/>
      <c r="H140" s="255"/>
      <c r="I140" s="255"/>
      <c r="J140" s="255"/>
      <c r="K140" s="255"/>
      <c r="L140" s="255"/>
      <c r="M140" s="255"/>
      <c r="N140" s="99"/>
      <c r="O140" s="99"/>
      <c r="P140" s="191"/>
      <c r="Q140" s="218"/>
      <c r="R140" s="218"/>
    </row>
    <row r="141" spans="1:18" ht="13.5" thickTop="1" x14ac:dyDescent="0.2">
      <c r="A141" s="185"/>
      <c r="B141" s="185"/>
      <c r="C141" s="185"/>
      <c r="D141" s="185"/>
      <c r="E141" s="296"/>
      <c r="F141" s="311"/>
      <c r="G141" s="188"/>
      <c r="H141" s="188"/>
      <c r="I141" s="188"/>
      <c r="J141" s="188"/>
      <c r="K141" s="188"/>
      <c r="L141" s="188"/>
      <c r="M141" s="188"/>
      <c r="N141" s="99"/>
      <c r="O141" s="99"/>
      <c r="P141" s="191"/>
      <c r="Q141" s="218"/>
      <c r="R141" s="218"/>
    </row>
    <row r="142" spans="1:18" ht="12.75" outlineLevel="1" x14ac:dyDescent="0.2">
      <c r="B142" s="191" t="s">
        <v>380</v>
      </c>
      <c r="C142" s="191"/>
      <c r="D142" s="191"/>
      <c r="E142" s="296"/>
      <c r="F142" s="311">
        <f t="shared" ref="F142:F144" si="15">CEILING(SUM(F89,F137)*E142,100)</f>
        <v>0</v>
      </c>
      <c r="G142" s="216">
        <v>0</v>
      </c>
      <c r="H142" s="216"/>
      <c r="I142" s="216"/>
      <c r="J142" s="216"/>
      <c r="K142" s="216"/>
      <c r="L142" s="216"/>
      <c r="M142" s="216"/>
      <c r="N142" s="99"/>
      <c r="O142" s="99"/>
      <c r="P142" s="99"/>
      <c r="Q142" s="218"/>
      <c r="R142" s="218"/>
    </row>
    <row r="143" spans="1:18" ht="12.75" outlineLevel="1" x14ac:dyDescent="0.2">
      <c r="B143" s="191" t="s">
        <v>381</v>
      </c>
      <c r="C143" s="191"/>
      <c r="D143" s="191"/>
      <c r="E143" s="296"/>
      <c r="F143" s="311">
        <f t="shared" si="15"/>
        <v>0</v>
      </c>
      <c r="G143" s="216">
        <v>0</v>
      </c>
      <c r="H143" s="216"/>
      <c r="I143" s="216"/>
      <c r="J143" s="216"/>
      <c r="K143" s="216"/>
      <c r="L143" s="216"/>
      <c r="M143" s="216"/>
      <c r="N143" s="99"/>
      <c r="O143" s="99"/>
      <c r="P143" s="99"/>
      <c r="Q143" s="218"/>
      <c r="R143" s="218"/>
    </row>
    <row r="144" spans="1:18" ht="12.75" outlineLevel="1" x14ac:dyDescent="0.2">
      <c r="B144" s="191" t="s">
        <v>382</v>
      </c>
      <c r="C144" s="191"/>
      <c r="D144" s="191"/>
      <c r="E144" s="296"/>
      <c r="F144" s="311">
        <f t="shared" si="15"/>
        <v>0</v>
      </c>
      <c r="G144" s="216">
        <v>0</v>
      </c>
      <c r="H144" s="216"/>
      <c r="I144" s="216"/>
      <c r="J144" s="216"/>
      <c r="K144" s="216"/>
      <c r="L144" s="216"/>
      <c r="M144" s="216"/>
      <c r="N144" s="99"/>
      <c r="O144" s="99"/>
      <c r="P144" s="99"/>
      <c r="Q144" s="218"/>
      <c r="R144" s="218"/>
    </row>
    <row r="145" spans="1:18" ht="12.75" outlineLevel="1" x14ac:dyDescent="0.2">
      <c r="B145" s="191" t="s">
        <v>383</v>
      </c>
      <c r="C145" s="191"/>
      <c r="D145" s="191"/>
      <c r="E145" s="296"/>
      <c r="F145" s="311">
        <v>7300</v>
      </c>
      <c r="G145" s="216">
        <v>4360</v>
      </c>
      <c r="H145" s="216">
        <v>3427</v>
      </c>
      <c r="I145" s="216">
        <v>0</v>
      </c>
      <c r="J145" s="216">
        <v>0</v>
      </c>
      <c r="K145" s="216">
        <v>0</v>
      </c>
      <c r="L145" s="216">
        <v>0</v>
      </c>
      <c r="M145" s="216">
        <v>0</v>
      </c>
      <c r="N145" s="99"/>
      <c r="O145" s="99"/>
      <c r="P145" s="99" t="s">
        <v>384</v>
      </c>
      <c r="Q145" s="218"/>
      <c r="R145" s="218"/>
    </row>
    <row r="146" spans="1:18" ht="12.75" outlineLevel="1" x14ac:dyDescent="0.2">
      <c r="A146" s="185"/>
      <c r="B146" s="185"/>
      <c r="C146" s="185"/>
      <c r="D146" s="185"/>
      <c r="E146" s="296"/>
      <c r="F146" s="311"/>
      <c r="G146" s="188"/>
      <c r="H146" s="188"/>
      <c r="I146" s="188"/>
      <c r="J146" s="188"/>
      <c r="K146" s="188"/>
      <c r="L146" s="188"/>
      <c r="M146" s="188"/>
      <c r="N146" s="99"/>
      <c r="O146" s="99"/>
      <c r="P146" s="191"/>
      <c r="Q146" s="218"/>
      <c r="R146" s="218"/>
    </row>
    <row r="147" spans="1:18" ht="13.5" thickBot="1" x14ac:dyDescent="0.25">
      <c r="A147" s="253" t="s">
        <v>385</v>
      </c>
      <c r="B147" s="253"/>
      <c r="C147" s="253"/>
      <c r="D147" s="253"/>
      <c r="E147" s="329"/>
      <c r="F147" s="330">
        <f t="shared" ref="F147:G147" si="16">F139-F145</f>
        <v>-7000</v>
      </c>
      <c r="G147" s="254">
        <f t="shared" si="16"/>
        <v>31976.880000000005</v>
      </c>
      <c r="H147" s="188"/>
      <c r="I147" s="188"/>
      <c r="J147" s="188"/>
      <c r="K147" s="188"/>
      <c r="L147" s="188"/>
      <c r="M147" s="188"/>
      <c r="N147" s="99"/>
      <c r="O147" s="99"/>
      <c r="P147" s="191"/>
      <c r="Q147" s="218"/>
      <c r="R147" s="218"/>
    </row>
    <row r="148" spans="1:18" ht="14.25" thickTop="1" thickBot="1" x14ac:dyDescent="0.25">
      <c r="A148" s="207"/>
      <c r="B148" s="207"/>
      <c r="C148" s="207"/>
      <c r="D148" s="207"/>
      <c r="E148" s="331"/>
      <c r="F148" s="331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</row>
    <row r="149" spans="1:18" ht="12.75" x14ac:dyDescent="0.2">
      <c r="A149" s="185"/>
      <c r="B149" s="185"/>
      <c r="C149" s="185"/>
      <c r="D149" s="185"/>
      <c r="E149" s="296"/>
      <c r="F149" s="321"/>
      <c r="G149" s="188"/>
      <c r="H149" s="188"/>
      <c r="I149" s="188"/>
      <c r="J149" s="188"/>
      <c r="K149" s="188"/>
      <c r="L149" s="188"/>
      <c r="M149" s="188"/>
      <c r="N149" s="99"/>
      <c r="O149" s="99"/>
      <c r="P149" s="191"/>
      <c r="Q149" s="218"/>
      <c r="R149" s="218"/>
    </row>
    <row r="150" spans="1:18" ht="12.75" collapsed="1" x14ac:dyDescent="0.2">
      <c r="A150" s="185" t="s">
        <v>386</v>
      </c>
      <c r="B150" s="185"/>
      <c r="C150" s="185"/>
      <c r="D150" s="185"/>
      <c r="E150" s="296"/>
      <c r="F150" s="321"/>
      <c r="G150" s="188"/>
      <c r="H150" s="188"/>
      <c r="I150" s="188"/>
      <c r="J150" s="188"/>
      <c r="K150" s="188"/>
      <c r="L150" s="188"/>
      <c r="M150" s="188"/>
      <c r="N150" s="99"/>
      <c r="O150" s="99"/>
      <c r="P150" s="191"/>
      <c r="Q150" s="218"/>
      <c r="R150" s="218"/>
    </row>
    <row r="151" spans="1:18" ht="12.75" hidden="1" outlineLevel="1" x14ac:dyDescent="0.2">
      <c r="A151" s="185"/>
      <c r="B151" s="185" t="s">
        <v>387</v>
      </c>
      <c r="C151" s="185"/>
      <c r="D151" s="185"/>
      <c r="E151" s="296"/>
      <c r="F151" s="321"/>
      <c r="G151" s="188"/>
      <c r="H151" s="188"/>
      <c r="I151" s="188"/>
      <c r="J151" s="188"/>
      <c r="K151" s="188"/>
      <c r="L151" s="188"/>
      <c r="M151" s="188"/>
      <c r="N151" s="99"/>
      <c r="O151" s="99"/>
      <c r="P151" s="191"/>
      <c r="Q151" s="218"/>
      <c r="R151" s="218"/>
    </row>
    <row r="152" spans="1:18" ht="12.75" hidden="1" outlineLevel="1" x14ac:dyDescent="0.2">
      <c r="A152" s="185"/>
      <c r="B152" s="185"/>
      <c r="C152" s="191" t="s">
        <v>6</v>
      </c>
      <c r="D152" s="185"/>
      <c r="E152" s="296"/>
      <c r="F152" s="321"/>
      <c r="G152" s="188"/>
      <c r="H152" s="188"/>
      <c r="I152" s="188"/>
      <c r="J152" s="188"/>
      <c r="K152" s="188"/>
      <c r="L152" s="188"/>
      <c r="M152" s="188"/>
      <c r="N152" s="99"/>
      <c r="O152" s="99"/>
      <c r="P152" s="191"/>
      <c r="Q152" s="218"/>
      <c r="R152" s="218"/>
    </row>
    <row r="153" spans="1:18" ht="12.75" hidden="1" outlineLevel="1" x14ac:dyDescent="0.2">
      <c r="A153" s="185"/>
      <c r="B153" s="185"/>
      <c r="C153" s="191"/>
      <c r="D153" s="191" t="s">
        <v>388</v>
      </c>
      <c r="E153" s="296"/>
      <c r="F153" s="332">
        <v>5000</v>
      </c>
      <c r="G153" s="188"/>
      <c r="H153" s="188"/>
      <c r="I153" s="188"/>
      <c r="J153" s="188"/>
      <c r="K153" s="188"/>
      <c r="L153" s="188"/>
      <c r="M153" s="188"/>
      <c r="N153" s="99"/>
      <c r="O153" s="99"/>
      <c r="P153" s="191"/>
      <c r="Q153" s="218"/>
      <c r="R153" s="218"/>
    </row>
    <row r="154" spans="1:18" ht="12.75" hidden="1" outlineLevel="1" x14ac:dyDescent="0.2">
      <c r="A154" s="185"/>
      <c r="B154" s="185"/>
      <c r="C154" s="191"/>
      <c r="D154" s="245" t="s">
        <v>389</v>
      </c>
      <c r="F154" s="332">
        <v>0</v>
      </c>
      <c r="G154" s="188"/>
      <c r="H154" s="188"/>
      <c r="I154" s="188"/>
      <c r="J154" s="188"/>
      <c r="K154" s="188"/>
      <c r="L154" s="188"/>
      <c r="M154" s="188"/>
      <c r="N154" s="99"/>
      <c r="O154" s="99"/>
      <c r="P154" s="191"/>
      <c r="Q154" s="218"/>
      <c r="R154" s="218"/>
    </row>
    <row r="155" spans="1:18" ht="12.75" hidden="1" outlineLevel="1" x14ac:dyDescent="0.2">
      <c r="A155" s="185"/>
      <c r="B155" s="185"/>
      <c r="C155" s="191"/>
      <c r="D155" s="191" t="s">
        <v>390</v>
      </c>
      <c r="E155" s="296"/>
      <c r="F155" s="332">
        <v>0</v>
      </c>
      <c r="G155" s="188"/>
      <c r="H155" s="188"/>
      <c r="I155" s="188"/>
      <c r="J155" s="188"/>
      <c r="K155" s="188"/>
      <c r="L155" s="188"/>
      <c r="M155" s="188"/>
      <c r="N155" s="99"/>
      <c r="O155" s="99"/>
      <c r="P155" s="191"/>
      <c r="Q155" s="218"/>
      <c r="R155" s="218"/>
    </row>
    <row r="156" spans="1:18" ht="12.75" hidden="1" outlineLevel="1" x14ac:dyDescent="0.2">
      <c r="A156" s="185"/>
      <c r="B156" s="185"/>
      <c r="C156" s="191" t="s">
        <v>35</v>
      </c>
      <c r="D156" s="191"/>
      <c r="E156" s="296"/>
      <c r="F156" s="332"/>
      <c r="G156" s="188"/>
      <c r="H156" s="188"/>
      <c r="I156" s="188"/>
      <c r="J156" s="188"/>
      <c r="K156" s="188"/>
      <c r="L156" s="188"/>
      <c r="M156" s="188"/>
      <c r="N156" s="99"/>
      <c r="O156" s="99"/>
      <c r="P156" s="191"/>
      <c r="Q156" s="218"/>
      <c r="R156" s="218"/>
    </row>
    <row r="157" spans="1:18" ht="12.75" hidden="1" outlineLevel="1" x14ac:dyDescent="0.2">
      <c r="A157" s="185"/>
      <c r="B157" s="185"/>
      <c r="C157" s="191"/>
      <c r="D157" s="191" t="s">
        <v>368</v>
      </c>
      <c r="E157" s="296"/>
      <c r="F157" s="332">
        <f>F153/0.75</f>
        <v>6666.666666666667</v>
      </c>
      <c r="G157" s="188"/>
      <c r="H157" s="188"/>
      <c r="I157" s="188"/>
      <c r="J157" s="188"/>
      <c r="K157" s="188"/>
      <c r="L157" s="188"/>
      <c r="M157" s="188"/>
      <c r="N157" s="99"/>
      <c r="O157" s="99"/>
      <c r="P157" s="191"/>
      <c r="Q157" s="218"/>
      <c r="R157" s="218"/>
    </row>
    <row r="158" spans="1:18" ht="13.5" hidden="1" outlineLevel="1" thickBot="1" x14ac:dyDescent="0.25">
      <c r="A158" s="185"/>
      <c r="B158" s="185"/>
      <c r="C158" s="185" t="s">
        <v>391</v>
      </c>
      <c r="D158" s="185"/>
      <c r="E158" s="296"/>
      <c r="F158" s="333">
        <f>SUM(F153:F155)-F157</f>
        <v>-1666.666666666667</v>
      </c>
      <c r="G158" s="188"/>
      <c r="H158" s="188"/>
      <c r="I158" s="188"/>
      <c r="J158" s="188"/>
      <c r="K158" s="188"/>
      <c r="L158" s="188"/>
      <c r="M158" s="188"/>
      <c r="N158" s="99"/>
      <c r="O158" s="99"/>
      <c r="P158" s="191" t="s">
        <v>392</v>
      </c>
      <c r="Q158" s="218"/>
      <c r="R158" s="218"/>
    </row>
    <row r="159" spans="1:18" ht="13.5" hidden="1" outlineLevel="1" thickTop="1" x14ac:dyDescent="0.2">
      <c r="A159" s="185"/>
      <c r="B159" s="185"/>
      <c r="C159" s="185"/>
      <c r="D159" s="185"/>
      <c r="E159" s="296"/>
      <c r="F159" s="332"/>
      <c r="G159" s="188"/>
      <c r="H159" s="188"/>
      <c r="I159" s="188"/>
      <c r="J159" s="188"/>
      <c r="K159" s="188"/>
      <c r="L159" s="188"/>
      <c r="M159" s="188"/>
      <c r="N159" s="99"/>
      <c r="O159" s="99"/>
      <c r="P159" s="191"/>
      <c r="Q159" s="218"/>
      <c r="R159" s="218"/>
    </row>
    <row r="160" spans="1:18" ht="12.75" hidden="1" outlineLevel="1" x14ac:dyDescent="0.2">
      <c r="A160" s="185"/>
      <c r="B160" s="185" t="s">
        <v>393</v>
      </c>
      <c r="C160" s="185"/>
      <c r="D160" s="185"/>
      <c r="E160" s="296"/>
      <c r="F160" s="321"/>
      <c r="G160" s="188"/>
      <c r="H160" s="188"/>
      <c r="I160" s="188"/>
      <c r="J160" s="188"/>
      <c r="K160" s="188"/>
      <c r="L160" s="188"/>
      <c r="M160" s="188"/>
      <c r="N160" s="99"/>
      <c r="O160" s="99"/>
      <c r="P160" s="191"/>
      <c r="Q160" s="218"/>
      <c r="R160" s="218"/>
    </row>
    <row r="161" spans="1:18" ht="12.75" hidden="1" outlineLevel="1" x14ac:dyDescent="0.2">
      <c r="A161" s="185"/>
      <c r="B161" s="185"/>
      <c r="C161" s="191" t="s">
        <v>6</v>
      </c>
      <c r="E161" s="296"/>
      <c r="G161" s="188"/>
      <c r="H161" s="188"/>
      <c r="I161" s="188"/>
      <c r="J161" s="188"/>
      <c r="K161" s="188"/>
      <c r="L161" s="188"/>
      <c r="M161" s="188"/>
      <c r="N161" s="99"/>
      <c r="O161" s="99"/>
      <c r="P161" s="191"/>
      <c r="Q161" s="218"/>
      <c r="R161" s="218"/>
    </row>
    <row r="162" spans="1:18" ht="12.75" hidden="1" outlineLevel="1" x14ac:dyDescent="0.2">
      <c r="A162" s="185"/>
      <c r="B162" s="185"/>
      <c r="C162" s="191"/>
      <c r="D162" s="245" t="s">
        <v>394</v>
      </c>
      <c r="E162" s="296"/>
      <c r="F162" s="332">
        <f>E44</f>
        <v>7680.0999999999995</v>
      </c>
      <c r="G162" s="188"/>
      <c r="H162" s="188"/>
      <c r="I162" s="188"/>
      <c r="J162" s="188"/>
      <c r="K162" s="188"/>
      <c r="L162" s="188"/>
      <c r="M162" s="188"/>
      <c r="N162" s="99"/>
      <c r="O162" s="99"/>
      <c r="P162" s="191"/>
      <c r="Q162" s="218"/>
      <c r="R162" s="218"/>
    </row>
    <row r="163" spans="1:18" ht="12.75" hidden="1" outlineLevel="1" x14ac:dyDescent="0.2">
      <c r="A163" s="185"/>
      <c r="B163" s="185"/>
      <c r="C163" s="191"/>
      <c r="D163" s="245" t="s">
        <v>309</v>
      </c>
      <c r="E163" s="296"/>
      <c r="F163" s="332">
        <v>0</v>
      </c>
      <c r="G163" s="188"/>
      <c r="H163" s="188"/>
      <c r="I163" s="188"/>
      <c r="J163" s="188"/>
      <c r="K163" s="188"/>
      <c r="L163" s="188"/>
      <c r="M163" s="188"/>
      <c r="N163" s="99"/>
      <c r="O163" s="99"/>
      <c r="P163" s="191"/>
      <c r="Q163" s="218"/>
      <c r="R163" s="218"/>
    </row>
    <row r="164" spans="1:18" ht="12.75" hidden="1" outlineLevel="1" x14ac:dyDescent="0.2">
      <c r="A164" s="185"/>
      <c r="B164" s="185"/>
      <c r="C164" s="191" t="s">
        <v>35</v>
      </c>
      <c r="E164" s="296"/>
      <c r="F164" s="332"/>
      <c r="G164" s="188"/>
      <c r="H164" s="188"/>
      <c r="I164" s="188"/>
      <c r="J164" s="188"/>
      <c r="K164" s="188"/>
      <c r="L164" s="188"/>
      <c r="M164" s="188"/>
      <c r="N164" s="99"/>
      <c r="O164" s="99"/>
      <c r="P164" s="191"/>
      <c r="Q164" s="218"/>
      <c r="R164" s="218"/>
    </row>
    <row r="165" spans="1:18" ht="12.75" hidden="1" outlineLevel="1" x14ac:dyDescent="0.2">
      <c r="A165" s="185"/>
      <c r="B165" s="185"/>
      <c r="C165" s="185"/>
      <c r="D165" s="191" t="s">
        <v>395</v>
      </c>
      <c r="E165" s="296"/>
      <c r="F165" s="332">
        <f>F294</f>
        <v>12053.7</v>
      </c>
      <c r="G165" s="188"/>
      <c r="H165" s="188"/>
      <c r="I165" s="188"/>
      <c r="J165" s="188"/>
      <c r="K165" s="188"/>
      <c r="L165" s="188"/>
      <c r="M165" s="188"/>
      <c r="N165" s="99"/>
      <c r="O165" s="99"/>
      <c r="P165" s="191"/>
      <c r="Q165" s="218"/>
      <c r="R165" s="218"/>
    </row>
    <row r="166" spans="1:18" ht="13.5" hidden="1" outlineLevel="1" thickBot="1" x14ac:dyDescent="0.25">
      <c r="A166" s="185"/>
      <c r="B166" s="185"/>
      <c r="C166" s="185" t="s">
        <v>391</v>
      </c>
      <c r="D166" s="185"/>
      <c r="E166" s="334"/>
      <c r="F166" s="333">
        <f>SUM(F162:F163)-SUM(F165)</f>
        <v>-4373.6000000000013</v>
      </c>
      <c r="G166" s="188"/>
      <c r="H166" s="188"/>
      <c r="I166" s="188"/>
      <c r="J166" s="188"/>
      <c r="K166" s="188"/>
      <c r="L166" s="188"/>
      <c r="M166" s="188"/>
      <c r="N166" s="99"/>
      <c r="O166" s="99"/>
      <c r="P166" s="191" t="s">
        <v>392</v>
      </c>
      <c r="Q166" s="218"/>
      <c r="R166" s="218"/>
    </row>
    <row r="167" spans="1:18" ht="13.5" hidden="1" outlineLevel="1" thickTop="1" x14ac:dyDescent="0.2">
      <c r="A167" s="185"/>
      <c r="B167" s="185"/>
      <c r="C167" s="185"/>
      <c r="D167" s="185"/>
      <c r="E167" s="296"/>
      <c r="F167" s="332"/>
      <c r="G167" s="188"/>
      <c r="H167" s="188"/>
      <c r="I167" s="188"/>
      <c r="J167" s="188"/>
      <c r="K167" s="188"/>
      <c r="L167" s="188"/>
      <c r="M167" s="188"/>
      <c r="N167" s="99"/>
      <c r="O167" s="99"/>
      <c r="P167" s="191"/>
      <c r="Q167" s="218"/>
      <c r="R167" s="218"/>
    </row>
    <row r="168" spans="1:18" ht="12.75" hidden="1" outlineLevel="1" x14ac:dyDescent="0.2">
      <c r="A168" s="185"/>
      <c r="B168" s="185" t="s">
        <v>396</v>
      </c>
      <c r="C168" s="185"/>
      <c r="D168" s="185"/>
      <c r="E168" s="296"/>
      <c r="F168" s="332"/>
      <c r="G168" s="188"/>
      <c r="H168" s="188"/>
      <c r="I168" s="188"/>
      <c r="J168" s="188"/>
      <c r="K168" s="188"/>
      <c r="L168" s="188"/>
      <c r="M168" s="188"/>
      <c r="N168" s="99"/>
      <c r="O168" s="99"/>
      <c r="P168" s="191"/>
      <c r="Q168" s="218"/>
      <c r="R168" s="218"/>
    </row>
    <row r="169" spans="1:18" ht="12.75" hidden="1" outlineLevel="1" x14ac:dyDescent="0.2">
      <c r="A169" s="185"/>
      <c r="B169" s="185"/>
      <c r="C169" s="191" t="s">
        <v>6</v>
      </c>
      <c r="E169" s="296"/>
      <c r="G169" s="188"/>
      <c r="H169" s="188"/>
      <c r="I169" s="188"/>
      <c r="J169" s="188"/>
      <c r="K169" s="188"/>
      <c r="L169" s="188"/>
      <c r="M169" s="188"/>
      <c r="N169" s="99"/>
      <c r="O169" s="99"/>
      <c r="P169" s="191"/>
      <c r="Q169" s="218"/>
      <c r="R169" s="218"/>
    </row>
    <row r="170" spans="1:18" ht="12.75" hidden="1" outlineLevel="1" x14ac:dyDescent="0.2">
      <c r="A170" s="185"/>
      <c r="B170" s="185"/>
      <c r="C170" s="191"/>
      <c r="D170" s="191" t="s">
        <v>397</v>
      </c>
      <c r="E170" s="296"/>
      <c r="F170" s="332">
        <v>2500</v>
      </c>
      <c r="G170" s="188"/>
      <c r="H170" s="188"/>
      <c r="I170" s="188"/>
      <c r="J170" s="188"/>
      <c r="K170" s="188"/>
      <c r="L170" s="188"/>
      <c r="M170" s="188"/>
      <c r="N170" s="99"/>
      <c r="O170" s="99"/>
      <c r="P170" s="191"/>
      <c r="Q170" s="218"/>
      <c r="R170" s="218"/>
    </row>
    <row r="171" spans="1:18" ht="12.75" hidden="1" outlineLevel="1" x14ac:dyDescent="0.2">
      <c r="A171" s="185"/>
      <c r="B171" s="185"/>
      <c r="C171" s="191"/>
      <c r="D171" s="245" t="s">
        <v>398</v>
      </c>
      <c r="E171" s="296"/>
      <c r="F171" s="332">
        <f>10*15*10</f>
        <v>1500</v>
      </c>
      <c r="G171" s="188"/>
      <c r="H171" s="188"/>
      <c r="I171" s="188"/>
      <c r="J171" s="188"/>
      <c r="K171" s="188"/>
      <c r="L171" s="188"/>
      <c r="M171" s="188"/>
      <c r="N171" s="99"/>
      <c r="O171" s="99"/>
      <c r="P171" s="191"/>
      <c r="Q171" s="218"/>
      <c r="R171" s="218"/>
    </row>
    <row r="172" spans="1:18" ht="12.75" hidden="1" outlineLevel="1" x14ac:dyDescent="0.2">
      <c r="A172" s="185"/>
      <c r="B172" s="185"/>
      <c r="C172" s="191"/>
      <c r="D172" s="191" t="s">
        <v>390</v>
      </c>
      <c r="E172" s="296"/>
      <c r="F172" s="332">
        <v>0</v>
      </c>
      <c r="G172" s="188"/>
      <c r="H172" s="188"/>
      <c r="I172" s="188"/>
      <c r="J172" s="188"/>
      <c r="K172" s="188"/>
      <c r="L172" s="188"/>
      <c r="M172" s="188"/>
      <c r="N172" s="99"/>
      <c r="O172" s="99"/>
      <c r="P172" s="191"/>
      <c r="Q172" s="218"/>
      <c r="R172" s="218"/>
    </row>
    <row r="173" spans="1:18" ht="12.75" hidden="1" outlineLevel="1" x14ac:dyDescent="0.2">
      <c r="A173" s="185"/>
      <c r="B173" s="185"/>
      <c r="C173" s="191" t="s">
        <v>35</v>
      </c>
      <c r="E173" s="296"/>
      <c r="F173" s="332"/>
      <c r="G173" s="188"/>
      <c r="H173" s="188"/>
      <c r="I173" s="188"/>
      <c r="J173" s="188"/>
      <c r="K173" s="188"/>
      <c r="L173" s="188"/>
      <c r="M173" s="188"/>
      <c r="N173" s="99"/>
      <c r="O173" s="99"/>
      <c r="P173" s="191"/>
      <c r="Q173" s="218"/>
      <c r="R173" s="218"/>
    </row>
    <row r="174" spans="1:18" ht="12.75" hidden="1" outlineLevel="1" x14ac:dyDescent="0.2">
      <c r="A174" s="185"/>
      <c r="B174" s="185"/>
      <c r="C174" s="185"/>
      <c r="D174" s="191" t="s">
        <v>326</v>
      </c>
      <c r="E174" s="296"/>
      <c r="F174" s="332">
        <f>BaseSalary*0.25</f>
        <v>4660.5</v>
      </c>
      <c r="G174" s="188"/>
      <c r="H174" s="188"/>
      <c r="I174" s="188"/>
      <c r="J174" s="188"/>
      <c r="K174" s="188"/>
      <c r="L174" s="188"/>
      <c r="M174" s="188"/>
      <c r="N174" s="99"/>
      <c r="O174" s="99"/>
      <c r="P174" s="191"/>
      <c r="Q174" s="218"/>
      <c r="R174" s="218"/>
    </row>
    <row r="175" spans="1:18" ht="12.75" hidden="1" outlineLevel="1" x14ac:dyDescent="0.2">
      <c r="A175" s="185"/>
      <c r="B175" s="185"/>
      <c r="C175" s="185"/>
      <c r="D175" s="191" t="s">
        <v>399</v>
      </c>
      <c r="E175" s="296"/>
      <c r="F175" s="332">
        <v>500</v>
      </c>
      <c r="G175" s="188"/>
      <c r="H175" s="188"/>
      <c r="I175" s="188"/>
      <c r="J175" s="188"/>
      <c r="K175" s="188"/>
      <c r="L175" s="188"/>
      <c r="M175" s="188"/>
      <c r="N175" s="99"/>
      <c r="O175" s="99"/>
      <c r="P175" s="191"/>
      <c r="Q175" s="218"/>
      <c r="R175" s="218"/>
    </row>
    <row r="176" spans="1:18" ht="13.5" hidden="1" outlineLevel="1" thickBot="1" x14ac:dyDescent="0.25">
      <c r="A176" s="185"/>
      <c r="B176" s="185"/>
      <c r="C176" s="185" t="s">
        <v>391</v>
      </c>
      <c r="D176" s="185"/>
      <c r="E176" s="334"/>
      <c r="F176" s="333">
        <f>SUM(F170:F172)-SUM(F174:F175)</f>
        <v>-1160.5</v>
      </c>
      <c r="G176" s="188"/>
      <c r="H176" s="188"/>
      <c r="I176" s="188"/>
      <c r="J176" s="188"/>
      <c r="K176" s="188"/>
      <c r="L176" s="188"/>
      <c r="M176" s="188"/>
      <c r="N176" s="99"/>
      <c r="O176" s="99"/>
      <c r="P176" s="191"/>
      <c r="Q176" s="218"/>
      <c r="R176" s="218"/>
    </row>
    <row r="177" spans="1:18" ht="13.5" hidden="1" outlineLevel="1" thickTop="1" x14ac:dyDescent="0.2">
      <c r="A177" s="185"/>
      <c r="B177" s="185"/>
      <c r="C177" s="185"/>
      <c r="D177" s="185"/>
      <c r="E177" s="296"/>
      <c r="F177" s="332"/>
      <c r="G177" s="188"/>
      <c r="H177" s="188"/>
      <c r="I177" s="188"/>
      <c r="J177" s="188"/>
      <c r="K177" s="188"/>
      <c r="L177" s="188"/>
      <c r="M177" s="188"/>
      <c r="N177" s="99"/>
      <c r="O177" s="99"/>
      <c r="P177" s="191"/>
      <c r="Q177" s="218"/>
      <c r="R177" s="218"/>
    </row>
    <row r="178" spans="1:18" ht="12.75" hidden="1" outlineLevel="1" x14ac:dyDescent="0.2">
      <c r="A178" s="185"/>
      <c r="B178" s="185"/>
      <c r="C178" s="185"/>
      <c r="D178" s="185"/>
      <c r="E178" s="296"/>
      <c r="F178" s="332"/>
      <c r="G178" s="188"/>
      <c r="H178" s="188"/>
      <c r="I178" s="188"/>
      <c r="J178" s="188"/>
      <c r="K178" s="188"/>
      <c r="L178" s="188"/>
      <c r="M178" s="188"/>
      <c r="N178" s="99"/>
      <c r="O178" s="99"/>
      <c r="P178" s="191"/>
      <c r="Q178" s="218"/>
      <c r="R178" s="218"/>
    </row>
    <row r="179" spans="1:18" ht="12.75" collapsed="1" x14ac:dyDescent="0.2">
      <c r="A179" s="185" t="s">
        <v>400</v>
      </c>
      <c r="B179" s="185"/>
      <c r="C179" s="185"/>
      <c r="D179" s="185"/>
      <c r="E179" s="296"/>
      <c r="F179" s="321"/>
      <c r="G179" s="188"/>
      <c r="H179" s="188"/>
      <c r="I179" s="188"/>
      <c r="J179" s="188"/>
      <c r="K179" s="188"/>
      <c r="L179" s="188"/>
      <c r="M179" s="188"/>
      <c r="N179" s="99"/>
      <c r="O179" s="99"/>
      <c r="P179" s="191"/>
      <c r="Q179" s="218"/>
      <c r="R179" s="218"/>
    </row>
    <row r="180" spans="1:18" ht="12.75" hidden="1" outlineLevel="1" x14ac:dyDescent="0.2">
      <c r="A180" s="185"/>
      <c r="B180" s="185" t="s">
        <v>222</v>
      </c>
      <c r="C180" s="185"/>
      <c r="D180" s="185"/>
      <c r="E180" s="296"/>
      <c r="F180" s="321"/>
      <c r="G180" s="188"/>
      <c r="H180" s="188"/>
      <c r="I180" s="188"/>
      <c r="J180" s="188"/>
      <c r="K180" s="188"/>
      <c r="L180" s="188"/>
      <c r="M180" s="188"/>
      <c r="N180" s="99"/>
      <c r="O180" s="99"/>
      <c r="P180" s="191"/>
      <c r="Q180" s="218"/>
      <c r="R180" s="218"/>
    </row>
    <row r="181" spans="1:18" ht="12.75" hidden="1" outlineLevel="1" x14ac:dyDescent="0.2">
      <c r="A181" s="185"/>
      <c r="B181" s="185"/>
      <c r="C181" s="191" t="s">
        <v>6</v>
      </c>
      <c r="D181" s="185"/>
      <c r="E181" s="296"/>
      <c r="F181" s="321"/>
      <c r="G181" s="188"/>
      <c r="H181" s="188"/>
      <c r="I181" s="188"/>
      <c r="J181" s="188"/>
      <c r="K181" s="188"/>
      <c r="L181" s="188"/>
      <c r="M181" s="188"/>
      <c r="N181" s="99"/>
      <c r="O181" s="99"/>
      <c r="P181" s="191"/>
      <c r="Q181" s="218"/>
      <c r="R181" s="218"/>
    </row>
    <row r="182" spans="1:18" ht="12.75" hidden="1" outlineLevel="1" x14ac:dyDescent="0.2">
      <c r="A182" s="185"/>
      <c r="B182" s="185"/>
      <c r="C182" s="191"/>
      <c r="D182" s="191" t="s">
        <v>401</v>
      </c>
      <c r="E182" s="296"/>
      <c r="F182" s="332">
        <f>E52</f>
        <v>22500</v>
      </c>
      <c r="G182" s="188"/>
      <c r="H182" s="188"/>
      <c r="I182" s="188"/>
      <c r="J182" s="188"/>
      <c r="K182" s="188"/>
      <c r="L182" s="188"/>
      <c r="M182" s="188"/>
      <c r="N182" s="99"/>
      <c r="O182" s="99"/>
      <c r="P182" s="191"/>
      <c r="Q182" s="218"/>
      <c r="R182" s="218"/>
    </row>
    <row r="183" spans="1:18" ht="12.75" hidden="1" outlineLevel="1" x14ac:dyDescent="0.2">
      <c r="A183" s="185"/>
      <c r="B183" s="185"/>
      <c r="C183" s="191"/>
      <c r="D183" s="245" t="s">
        <v>194</v>
      </c>
      <c r="F183" s="332">
        <v>0</v>
      </c>
      <c r="G183" s="188"/>
      <c r="H183" s="188"/>
      <c r="I183" s="188"/>
      <c r="J183" s="188"/>
      <c r="K183" s="188"/>
      <c r="L183" s="188"/>
      <c r="M183" s="188"/>
      <c r="N183" s="99"/>
      <c r="O183" s="99"/>
      <c r="P183" s="191"/>
      <c r="Q183" s="218"/>
      <c r="R183" s="218"/>
    </row>
    <row r="184" spans="1:18" ht="12.75" hidden="1" outlineLevel="1" x14ac:dyDescent="0.2">
      <c r="A184" s="185"/>
      <c r="B184" s="185"/>
      <c r="C184" s="191" t="s">
        <v>35</v>
      </c>
      <c r="D184" s="191"/>
      <c r="E184" s="296"/>
      <c r="F184" s="332"/>
      <c r="G184" s="188"/>
      <c r="H184" s="188"/>
      <c r="I184" s="188"/>
      <c r="J184" s="188"/>
      <c r="K184" s="188"/>
      <c r="L184" s="188"/>
      <c r="M184" s="188"/>
      <c r="N184" s="99"/>
      <c r="O184" s="99"/>
      <c r="P184" s="191"/>
      <c r="Q184" s="218"/>
      <c r="R184" s="218"/>
    </row>
    <row r="185" spans="1:18" ht="12.75" hidden="1" outlineLevel="1" x14ac:dyDescent="0.2">
      <c r="A185" s="185"/>
      <c r="B185" s="185"/>
      <c r="C185" s="191"/>
      <c r="D185" s="191" t="s">
        <v>402</v>
      </c>
      <c r="E185" s="296"/>
      <c r="F185" s="332">
        <f>F182*0.85</f>
        <v>19125</v>
      </c>
      <c r="G185" s="188"/>
      <c r="H185" s="188"/>
      <c r="I185" s="188"/>
      <c r="J185" s="188"/>
      <c r="K185" s="188"/>
      <c r="L185" s="188"/>
      <c r="M185" s="188"/>
      <c r="N185" s="99"/>
      <c r="O185" s="99"/>
      <c r="P185" s="191"/>
      <c r="Q185" s="218"/>
      <c r="R185" s="218"/>
    </row>
    <row r="186" spans="1:18" ht="12.75" hidden="1" outlineLevel="1" x14ac:dyDescent="0.2">
      <c r="A186" s="185"/>
      <c r="B186" s="185"/>
      <c r="C186" s="191"/>
      <c r="D186" s="191" t="s">
        <v>170</v>
      </c>
      <c r="E186" s="296"/>
      <c r="F186" s="332">
        <v>0</v>
      </c>
      <c r="G186" s="188"/>
      <c r="H186" s="188"/>
      <c r="I186" s="188"/>
      <c r="J186" s="188"/>
      <c r="K186" s="188"/>
      <c r="L186" s="188"/>
      <c r="M186" s="188"/>
      <c r="N186" s="99"/>
      <c r="O186" s="99"/>
      <c r="P186" s="191"/>
      <c r="Q186" s="218"/>
      <c r="R186" s="218"/>
    </row>
    <row r="187" spans="1:18" ht="12.75" hidden="1" outlineLevel="1" x14ac:dyDescent="0.2">
      <c r="A187" s="185"/>
      <c r="B187" s="185"/>
      <c r="C187" s="191"/>
      <c r="D187" s="191" t="s">
        <v>194</v>
      </c>
      <c r="E187" s="296"/>
      <c r="F187" s="332">
        <v>0</v>
      </c>
      <c r="G187" s="188"/>
      <c r="H187" s="188"/>
      <c r="I187" s="188"/>
      <c r="J187" s="188"/>
      <c r="K187" s="188"/>
      <c r="L187" s="188"/>
      <c r="M187" s="188"/>
      <c r="N187" s="99"/>
      <c r="O187" s="99"/>
      <c r="P187" s="191"/>
      <c r="Q187" s="218"/>
      <c r="R187" s="218"/>
    </row>
    <row r="188" spans="1:18" ht="13.5" hidden="1" outlineLevel="1" thickBot="1" x14ac:dyDescent="0.25">
      <c r="A188" s="185"/>
      <c r="B188" s="185"/>
      <c r="C188" s="185" t="s">
        <v>391</v>
      </c>
      <c r="D188" s="185"/>
      <c r="E188" s="296"/>
      <c r="F188" s="333">
        <f>SUM(F182:F183)-SUM(F185:F187)</f>
        <v>3375</v>
      </c>
      <c r="G188" s="188"/>
      <c r="H188" s="188"/>
      <c r="I188" s="188"/>
      <c r="J188" s="188"/>
      <c r="K188" s="188"/>
      <c r="L188" s="188"/>
      <c r="M188" s="188"/>
      <c r="N188" s="99"/>
      <c r="O188" s="99"/>
      <c r="P188" s="191"/>
      <c r="Q188" s="218"/>
      <c r="R188" s="218"/>
    </row>
    <row r="189" spans="1:18" ht="13.5" hidden="1" outlineLevel="1" thickTop="1" x14ac:dyDescent="0.2">
      <c r="A189" s="185"/>
      <c r="B189" s="185"/>
      <c r="C189" s="185"/>
      <c r="D189" s="185"/>
      <c r="E189" s="296"/>
      <c r="F189" s="321"/>
      <c r="G189" s="188"/>
      <c r="H189" s="188"/>
      <c r="I189" s="188"/>
      <c r="J189" s="188"/>
      <c r="K189" s="188"/>
      <c r="L189" s="188"/>
      <c r="M189" s="188"/>
      <c r="N189" s="99"/>
      <c r="O189" s="99"/>
      <c r="P189" s="191"/>
      <c r="Q189" s="218"/>
      <c r="R189" s="218"/>
    </row>
    <row r="190" spans="1:18" ht="12.75" hidden="1" outlineLevel="1" x14ac:dyDescent="0.2">
      <c r="A190" s="185"/>
      <c r="B190" s="185" t="s">
        <v>403</v>
      </c>
      <c r="C190" s="185"/>
      <c r="D190" s="185"/>
      <c r="E190" s="296"/>
      <c r="F190" s="321"/>
      <c r="G190" s="188"/>
      <c r="H190" s="188"/>
      <c r="I190" s="188"/>
      <c r="J190" s="188"/>
      <c r="K190" s="188"/>
      <c r="L190" s="188"/>
      <c r="M190" s="188"/>
      <c r="N190" s="99"/>
      <c r="O190" s="99"/>
      <c r="P190" s="191"/>
      <c r="Q190" s="218"/>
      <c r="R190" s="218"/>
    </row>
    <row r="191" spans="1:18" ht="12.75" hidden="1" outlineLevel="1" x14ac:dyDescent="0.2">
      <c r="A191" s="185"/>
      <c r="B191" s="185"/>
      <c r="C191" s="191" t="s">
        <v>6</v>
      </c>
      <c r="D191" s="185"/>
      <c r="E191" s="296"/>
      <c r="F191" s="321"/>
      <c r="G191" s="188"/>
      <c r="H191" s="188"/>
      <c r="I191" s="188"/>
      <c r="J191" s="188"/>
      <c r="K191" s="188"/>
      <c r="L191" s="188"/>
      <c r="M191" s="188"/>
      <c r="N191" s="99"/>
      <c r="O191" s="99"/>
      <c r="P191" s="191"/>
      <c r="Q191" s="218"/>
      <c r="R191" s="218"/>
    </row>
    <row r="192" spans="1:18" ht="12.75" hidden="1" outlineLevel="1" x14ac:dyDescent="0.2">
      <c r="A192" s="185"/>
      <c r="B192" s="185"/>
      <c r="C192" s="191"/>
      <c r="D192" s="191" t="s">
        <v>404</v>
      </c>
      <c r="E192" s="296"/>
      <c r="F192" s="332">
        <f>E53</f>
        <v>3900</v>
      </c>
      <c r="G192" s="188"/>
      <c r="H192" s="188"/>
      <c r="I192" s="188"/>
      <c r="J192" s="188"/>
      <c r="K192" s="188"/>
      <c r="L192" s="188"/>
      <c r="M192" s="188"/>
      <c r="N192" s="99"/>
      <c r="O192" s="99"/>
      <c r="P192" s="191"/>
      <c r="Q192" s="218"/>
      <c r="R192" s="218"/>
    </row>
    <row r="193" spans="1:18" ht="12.75" hidden="1" outlineLevel="1" x14ac:dyDescent="0.2">
      <c r="A193" s="185"/>
      <c r="B193" s="185"/>
      <c r="C193" s="191"/>
      <c r="D193" s="245" t="s">
        <v>285</v>
      </c>
      <c r="F193" s="332">
        <f>E45</f>
        <v>2000</v>
      </c>
      <c r="G193" s="188"/>
      <c r="H193" s="188"/>
      <c r="I193" s="188"/>
      <c r="J193" s="188"/>
      <c r="K193" s="188"/>
      <c r="L193" s="188"/>
      <c r="M193" s="188"/>
      <c r="N193" s="99"/>
      <c r="O193" s="99"/>
      <c r="P193" s="191"/>
      <c r="Q193" s="218"/>
      <c r="R193" s="218"/>
    </row>
    <row r="194" spans="1:18" ht="12.75" hidden="1" outlineLevel="1" x14ac:dyDescent="0.2">
      <c r="A194" s="185"/>
      <c r="B194" s="185"/>
      <c r="C194" s="191"/>
      <c r="D194" s="245" t="s">
        <v>194</v>
      </c>
      <c r="F194" s="332">
        <v>0</v>
      </c>
      <c r="G194" s="188"/>
      <c r="H194" s="188"/>
      <c r="I194" s="188"/>
      <c r="J194" s="188"/>
      <c r="K194" s="188"/>
      <c r="L194" s="188"/>
      <c r="M194" s="188"/>
      <c r="N194" s="99"/>
      <c r="O194" s="99"/>
      <c r="P194" s="191"/>
      <c r="Q194" s="218"/>
      <c r="R194" s="218"/>
    </row>
    <row r="195" spans="1:18" ht="12.75" hidden="1" outlineLevel="1" x14ac:dyDescent="0.2">
      <c r="A195" s="185"/>
      <c r="B195" s="185"/>
      <c r="C195" s="191" t="s">
        <v>35</v>
      </c>
      <c r="D195" s="191"/>
      <c r="E195" s="296"/>
      <c r="F195" s="332"/>
      <c r="G195" s="188"/>
      <c r="H195" s="188"/>
      <c r="I195" s="188"/>
      <c r="J195" s="188"/>
      <c r="K195" s="188"/>
      <c r="L195" s="188"/>
      <c r="M195" s="188"/>
      <c r="N195" s="99"/>
      <c r="O195" s="99"/>
      <c r="P195" s="191"/>
      <c r="Q195" s="218"/>
      <c r="R195" s="218"/>
    </row>
    <row r="196" spans="1:18" ht="12.75" hidden="1" outlineLevel="1" x14ac:dyDescent="0.2">
      <c r="A196" s="185"/>
      <c r="B196" s="185"/>
      <c r="C196" s="191"/>
      <c r="D196" s="191" t="s">
        <v>405</v>
      </c>
      <c r="E196" s="296"/>
      <c r="F196" s="332">
        <f>BaseSalary*0.25</f>
        <v>4660.5</v>
      </c>
      <c r="G196" s="188"/>
      <c r="H196" s="188"/>
      <c r="I196" s="188"/>
      <c r="J196" s="188"/>
      <c r="K196" s="188"/>
      <c r="L196" s="188"/>
      <c r="M196" s="188"/>
      <c r="N196" s="99"/>
      <c r="O196" s="99"/>
      <c r="P196" s="191"/>
      <c r="Q196" s="218"/>
      <c r="R196" s="218"/>
    </row>
    <row r="197" spans="1:18" ht="12.75" hidden="1" outlineLevel="1" x14ac:dyDescent="0.2">
      <c r="A197" s="185"/>
      <c r="B197" s="185"/>
      <c r="C197" s="191"/>
      <c r="D197" s="191" t="s">
        <v>170</v>
      </c>
      <c r="E197" s="296"/>
      <c r="F197" s="332">
        <v>0</v>
      </c>
      <c r="G197" s="188"/>
      <c r="H197" s="188"/>
      <c r="I197" s="188"/>
      <c r="J197" s="188"/>
      <c r="K197" s="188"/>
      <c r="L197" s="188"/>
      <c r="M197" s="188"/>
      <c r="N197" s="99"/>
      <c r="O197" s="99"/>
      <c r="P197" s="191"/>
      <c r="Q197" s="218"/>
      <c r="R197" s="218"/>
    </row>
    <row r="198" spans="1:18" ht="12.75" hidden="1" outlineLevel="1" x14ac:dyDescent="0.2">
      <c r="A198" s="185"/>
      <c r="B198" s="185"/>
      <c r="C198" s="191"/>
      <c r="D198" s="191" t="s">
        <v>194</v>
      </c>
      <c r="E198" s="296"/>
      <c r="F198" s="332">
        <v>0</v>
      </c>
      <c r="G198" s="188"/>
      <c r="H198" s="188"/>
      <c r="I198" s="188"/>
      <c r="J198" s="188"/>
      <c r="K198" s="188"/>
      <c r="L198" s="188"/>
      <c r="M198" s="188"/>
      <c r="N198" s="99"/>
      <c r="O198" s="99"/>
      <c r="P198" s="191"/>
      <c r="Q198" s="218"/>
      <c r="R198" s="218"/>
    </row>
    <row r="199" spans="1:18" ht="13.5" hidden="1" outlineLevel="1" thickBot="1" x14ac:dyDescent="0.25">
      <c r="A199" s="185"/>
      <c r="B199" s="185"/>
      <c r="C199" s="185" t="s">
        <v>391</v>
      </c>
      <c r="D199" s="185"/>
      <c r="E199" s="296"/>
      <c r="F199" s="333">
        <f>SUM(F192:F194)-SUM(F196:F198)</f>
        <v>1239.5</v>
      </c>
      <c r="G199" s="188"/>
      <c r="H199" s="188"/>
      <c r="I199" s="188"/>
      <c r="J199" s="188"/>
      <c r="K199" s="188"/>
      <c r="L199" s="188"/>
      <c r="M199" s="188"/>
      <c r="N199" s="99"/>
      <c r="O199" s="99"/>
      <c r="P199" s="191"/>
      <c r="Q199" s="218"/>
      <c r="R199" s="218"/>
    </row>
    <row r="200" spans="1:18" ht="13.5" hidden="1" outlineLevel="1" thickTop="1" x14ac:dyDescent="0.2">
      <c r="A200" s="185"/>
      <c r="B200" s="185"/>
      <c r="C200" s="185"/>
      <c r="D200" s="185"/>
      <c r="E200" s="296"/>
      <c r="F200" s="321"/>
      <c r="G200" s="188"/>
      <c r="H200" s="188"/>
      <c r="I200" s="188"/>
      <c r="J200" s="188"/>
      <c r="K200" s="188"/>
      <c r="L200" s="188"/>
      <c r="M200" s="188"/>
      <c r="N200" s="99"/>
      <c r="O200" s="99"/>
      <c r="P200" s="191"/>
      <c r="Q200" s="218"/>
      <c r="R200" s="218"/>
    </row>
    <row r="201" spans="1:18" ht="12.75" hidden="1" outlineLevel="1" x14ac:dyDescent="0.2">
      <c r="A201" s="185"/>
      <c r="B201" s="185" t="s">
        <v>406</v>
      </c>
      <c r="C201" s="185"/>
      <c r="D201" s="185"/>
      <c r="E201" s="296"/>
      <c r="F201" s="321"/>
      <c r="G201" s="188"/>
      <c r="H201" s="188"/>
      <c r="I201" s="188"/>
      <c r="J201" s="188"/>
      <c r="K201" s="188"/>
      <c r="L201" s="188"/>
      <c r="M201" s="188"/>
      <c r="N201" s="99"/>
      <c r="O201" s="99"/>
      <c r="P201" s="191"/>
      <c r="Q201" s="218"/>
      <c r="R201" s="218"/>
    </row>
    <row r="202" spans="1:18" ht="12.75" hidden="1" outlineLevel="1" x14ac:dyDescent="0.2">
      <c r="A202" s="185"/>
      <c r="B202" s="185"/>
      <c r="C202" s="191" t="s">
        <v>6</v>
      </c>
      <c r="D202" s="185"/>
      <c r="E202" s="296"/>
      <c r="F202" s="321"/>
      <c r="G202" s="188"/>
      <c r="H202" s="188"/>
      <c r="I202" s="188"/>
      <c r="J202" s="188"/>
      <c r="K202" s="188"/>
      <c r="L202" s="188"/>
      <c r="M202" s="188"/>
      <c r="N202" s="99"/>
      <c r="O202" s="99"/>
      <c r="P202" s="191"/>
      <c r="Q202" s="218"/>
      <c r="R202" s="218"/>
    </row>
    <row r="203" spans="1:18" ht="12.75" hidden="1" outlineLevel="1" x14ac:dyDescent="0.2">
      <c r="A203" s="185"/>
      <c r="B203" s="185"/>
      <c r="C203" s="191"/>
      <c r="D203" s="191" t="s">
        <v>336</v>
      </c>
      <c r="E203" s="296"/>
      <c r="F203" s="332">
        <f>E55</f>
        <v>21500</v>
      </c>
      <c r="G203" s="188"/>
      <c r="H203" s="188"/>
      <c r="I203" s="188"/>
      <c r="J203" s="188"/>
      <c r="K203" s="188"/>
      <c r="L203" s="188"/>
      <c r="M203" s="188"/>
      <c r="N203" s="99"/>
      <c r="O203" s="99"/>
      <c r="P203" s="191"/>
      <c r="Q203" s="218"/>
      <c r="R203" s="218"/>
    </row>
    <row r="204" spans="1:18" ht="12.75" hidden="1" outlineLevel="1" x14ac:dyDescent="0.2">
      <c r="A204" s="185"/>
      <c r="B204" s="185"/>
      <c r="C204" s="191"/>
      <c r="D204" s="245" t="s">
        <v>407</v>
      </c>
      <c r="F204" s="332">
        <f>E54</f>
        <v>4164</v>
      </c>
      <c r="G204" s="188"/>
      <c r="H204" s="188"/>
      <c r="I204" s="188"/>
      <c r="J204" s="188"/>
      <c r="K204" s="188"/>
      <c r="L204" s="188"/>
      <c r="M204" s="188"/>
      <c r="N204" s="99"/>
      <c r="O204" s="99"/>
      <c r="P204" s="191"/>
      <c r="Q204" s="218"/>
      <c r="R204" s="218"/>
    </row>
    <row r="205" spans="1:18" ht="12.75" hidden="1" outlineLevel="1" x14ac:dyDescent="0.2">
      <c r="A205" s="185"/>
      <c r="B205" s="185"/>
      <c r="C205" s="191"/>
      <c r="D205" s="245" t="s">
        <v>194</v>
      </c>
      <c r="F205" s="332">
        <v>0</v>
      </c>
      <c r="G205" s="188"/>
      <c r="H205" s="188"/>
      <c r="I205" s="188"/>
      <c r="J205" s="188"/>
      <c r="K205" s="188"/>
      <c r="L205" s="188"/>
      <c r="M205" s="188"/>
      <c r="N205" s="99"/>
      <c r="O205" s="99"/>
      <c r="P205" s="191"/>
      <c r="Q205" s="218"/>
      <c r="R205" s="218"/>
    </row>
    <row r="206" spans="1:18" ht="12.75" hidden="1" outlineLevel="1" x14ac:dyDescent="0.2">
      <c r="A206" s="185"/>
      <c r="B206" s="185"/>
      <c r="C206" s="191" t="s">
        <v>35</v>
      </c>
      <c r="D206" s="191"/>
      <c r="E206" s="296"/>
      <c r="F206" s="332"/>
      <c r="G206" s="188"/>
      <c r="H206" s="188"/>
      <c r="I206" s="188"/>
      <c r="J206" s="188"/>
      <c r="K206" s="188"/>
      <c r="L206" s="188"/>
      <c r="M206" s="188"/>
      <c r="N206" s="99"/>
      <c r="O206" s="99"/>
      <c r="P206" s="191"/>
      <c r="Q206" s="218"/>
      <c r="R206" s="218"/>
    </row>
    <row r="207" spans="1:18" ht="12.75" hidden="1" outlineLevel="1" x14ac:dyDescent="0.2">
      <c r="A207" s="185"/>
      <c r="B207" s="185"/>
      <c r="C207" s="191"/>
      <c r="D207" s="245" t="s">
        <v>408</v>
      </c>
      <c r="E207" s="296"/>
      <c r="F207" s="332">
        <f>F203*0.85</f>
        <v>18275</v>
      </c>
      <c r="G207" s="188"/>
      <c r="H207" s="188"/>
      <c r="I207" s="188"/>
      <c r="J207" s="188"/>
      <c r="K207" s="188"/>
      <c r="L207" s="188"/>
      <c r="M207" s="188"/>
      <c r="N207" s="99"/>
      <c r="O207" s="99"/>
      <c r="P207" s="191"/>
      <c r="Q207" s="218"/>
      <c r="R207" s="218"/>
    </row>
    <row r="208" spans="1:18" ht="12.75" hidden="1" outlineLevel="1" x14ac:dyDescent="0.2">
      <c r="A208" s="185"/>
      <c r="B208" s="185"/>
      <c r="C208" s="191"/>
      <c r="D208" s="191" t="s">
        <v>409</v>
      </c>
      <c r="E208" s="296"/>
      <c r="F208" s="332">
        <v>0</v>
      </c>
      <c r="G208" s="188"/>
      <c r="H208" s="188"/>
      <c r="I208" s="188"/>
      <c r="J208" s="188"/>
      <c r="K208" s="188"/>
      <c r="L208" s="188"/>
      <c r="M208" s="188"/>
      <c r="N208" s="99"/>
      <c r="O208" s="99"/>
      <c r="P208" s="191"/>
      <c r="Q208" s="218"/>
      <c r="R208" s="218"/>
    </row>
    <row r="209" spans="1:18" ht="12.75" hidden="1" outlineLevel="1" x14ac:dyDescent="0.2">
      <c r="A209" s="185"/>
      <c r="B209" s="185"/>
      <c r="C209" s="191"/>
      <c r="D209" s="191" t="s">
        <v>410</v>
      </c>
      <c r="E209" s="296"/>
      <c r="F209" s="332">
        <f>F204</f>
        <v>4164</v>
      </c>
      <c r="G209" s="188"/>
      <c r="H209" s="188"/>
      <c r="I209" s="188"/>
      <c r="J209" s="188"/>
      <c r="K209" s="188"/>
      <c r="L209" s="188"/>
      <c r="M209" s="188"/>
      <c r="N209" s="99"/>
      <c r="O209" s="99"/>
      <c r="P209" s="191"/>
      <c r="Q209" s="218"/>
      <c r="R209" s="218"/>
    </row>
    <row r="210" spans="1:18" ht="12.75" hidden="1" outlineLevel="1" x14ac:dyDescent="0.2">
      <c r="A210" s="185"/>
      <c r="B210" s="185"/>
      <c r="C210" s="191"/>
      <c r="D210" s="191" t="s">
        <v>194</v>
      </c>
      <c r="E210" s="296"/>
      <c r="F210" s="332">
        <v>0</v>
      </c>
      <c r="G210" s="188"/>
      <c r="H210" s="188"/>
      <c r="I210" s="188"/>
      <c r="J210" s="188"/>
      <c r="K210" s="188"/>
      <c r="L210" s="188"/>
      <c r="M210" s="188"/>
      <c r="N210" s="99"/>
      <c r="O210" s="99"/>
      <c r="P210" s="191"/>
      <c r="Q210" s="218"/>
      <c r="R210" s="218"/>
    </row>
    <row r="211" spans="1:18" ht="13.5" hidden="1" outlineLevel="1" thickBot="1" x14ac:dyDescent="0.25">
      <c r="A211" s="185"/>
      <c r="B211" s="185"/>
      <c r="C211" s="185" t="s">
        <v>391</v>
      </c>
      <c r="D211" s="185"/>
      <c r="E211" s="296"/>
      <c r="F211" s="333">
        <f>SUM(F203:F205)-SUM(F207:F210)</f>
        <v>3225</v>
      </c>
      <c r="G211" s="188"/>
      <c r="H211" s="188"/>
      <c r="I211" s="188"/>
      <c r="J211" s="188"/>
      <c r="K211" s="188"/>
      <c r="L211" s="188"/>
      <c r="M211" s="188"/>
      <c r="N211" s="99"/>
      <c r="O211" s="99"/>
      <c r="P211" s="191"/>
      <c r="Q211" s="218"/>
      <c r="R211" s="218"/>
    </row>
    <row r="212" spans="1:18" ht="13.5" hidden="1" outlineLevel="1" thickTop="1" x14ac:dyDescent="0.2">
      <c r="A212" s="185"/>
      <c r="B212" s="185"/>
      <c r="C212" s="185"/>
      <c r="D212" s="185"/>
      <c r="E212" s="296"/>
      <c r="F212" s="321"/>
      <c r="G212" s="188"/>
      <c r="H212" s="188"/>
      <c r="I212" s="188"/>
      <c r="J212" s="188"/>
      <c r="K212" s="188"/>
      <c r="L212" s="188"/>
      <c r="M212" s="188"/>
      <c r="N212" s="99"/>
      <c r="O212" s="99"/>
      <c r="P212" s="191"/>
      <c r="Q212" s="218"/>
      <c r="R212" s="218"/>
    </row>
    <row r="213" spans="1:18" ht="12.75" hidden="1" outlineLevel="1" x14ac:dyDescent="0.2">
      <c r="A213" s="185"/>
      <c r="B213" s="185" t="s">
        <v>411</v>
      </c>
      <c r="C213" s="185"/>
      <c r="D213" s="185"/>
      <c r="E213" s="296"/>
      <c r="F213" s="321"/>
      <c r="G213" s="188"/>
      <c r="H213" s="188"/>
      <c r="I213" s="188"/>
      <c r="J213" s="188"/>
      <c r="K213" s="188"/>
      <c r="L213" s="188"/>
      <c r="M213" s="188"/>
      <c r="N213" s="99"/>
      <c r="O213" s="99"/>
      <c r="P213" s="191"/>
      <c r="Q213" s="218"/>
      <c r="R213" s="218"/>
    </row>
    <row r="214" spans="1:18" ht="12.75" hidden="1" outlineLevel="1" x14ac:dyDescent="0.2">
      <c r="A214" s="185"/>
      <c r="B214" s="185"/>
      <c r="C214" s="191" t="s">
        <v>6</v>
      </c>
      <c r="D214" s="185"/>
      <c r="E214" s="296"/>
      <c r="F214" s="321"/>
      <c r="G214" s="188"/>
      <c r="H214" s="188"/>
      <c r="I214" s="188"/>
      <c r="J214" s="188"/>
      <c r="K214" s="188"/>
      <c r="L214" s="188"/>
      <c r="M214" s="188"/>
      <c r="N214" s="99"/>
      <c r="O214" s="99"/>
      <c r="P214" s="191"/>
      <c r="Q214" s="218"/>
      <c r="R214" s="218"/>
    </row>
    <row r="215" spans="1:18" ht="12.75" hidden="1" outlineLevel="1" x14ac:dyDescent="0.2">
      <c r="A215" s="185"/>
      <c r="B215" s="185"/>
      <c r="C215" s="191"/>
      <c r="D215" s="191" t="s">
        <v>412</v>
      </c>
      <c r="E215" s="296"/>
      <c r="F215" s="332">
        <v>0</v>
      </c>
      <c r="G215" s="188"/>
      <c r="H215" s="188"/>
      <c r="I215" s="188"/>
      <c r="J215" s="188"/>
      <c r="K215" s="188"/>
      <c r="L215" s="188"/>
      <c r="M215" s="188"/>
      <c r="N215" s="99"/>
      <c r="O215" s="99"/>
      <c r="P215" s="191"/>
      <c r="Q215" s="218"/>
      <c r="R215" s="218"/>
    </row>
    <row r="216" spans="1:18" ht="12.75" hidden="1" outlineLevel="1" x14ac:dyDescent="0.2">
      <c r="A216" s="185"/>
      <c r="B216" s="185"/>
      <c r="C216" s="191"/>
      <c r="D216" s="245" t="s">
        <v>194</v>
      </c>
      <c r="F216" s="332">
        <v>0</v>
      </c>
      <c r="G216" s="188"/>
      <c r="H216" s="188"/>
      <c r="I216" s="188"/>
      <c r="J216" s="188"/>
      <c r="K216" s="188"/>
      <c r="L216" s="188"/>
      <c r="M216" s="188"/>
      <c r="N216" s="99"/>
      <c r="O216" s="99"/>
      <c r="P216" s="191"/>
      <c r="Q216" s="218"/>
      <c r="R216" s="218"/>
    </row>
    <row r="217" spans="1:18" ht="12.75" hidden="1" outlineLevel="1" x14ac:dyDescent="0.2">
      <c r="A217" s="185"/>
      <c r="B217" s="185"/>
      <c r="C217" s="191" t="s">
        <v>35</v>
      </c>
      <c r="D217" s="191"/>
      <c r="E217" s="296"/>
      <c r="F217" s="332"/>
      <c r="G217" s="188"/>
      <c r="H217" s="188"/>
      <c r="I217" s="188"/>
      <c r="J217" s="188"/>
      <c r="K217" s="188"/>
      <c r="L217" s="188"/>
      <c r="M217" s="188"/>
      <c r="N217" s="99"/>
      <c r="O217" s="99"/>
      <c r="P217" s="191"/>
      <c r="Q217" s="218"/>
      <c r="R217" s="218"/>
    </row>
    <row r="218" spans="1:18" ht="12.75" hidden="1" outlineLevel="1" x14ac:dyDescent="0.2">
      <c r="A218" s="185"/>
      <c r="B218" s="185"/>
      <c r="C218" s="191"/>
      <c r="D218" s="191" t="s">
        <v>413</v>
      </c>
      <c r="E218" s="296"/>
      <c r="F218" s="332">
        <f>F215*0.85</f>
        <v>0</v>
      </c>
      <c r="G218" s="188"/>
      <c r="H218" s="188"/>
      <c r="I218" s="188"/>
      <c r="J218" s="188"/>
      <c r="K218" s="188"/>
      <c r="L218" s="188"/>
      <c r="M218" s="188"/>
      <c r="N218" s="99"/>
      <c r="O218" s="99"/>
      <c r="P218" s="191"/>
      <c r="Q218" s="218"/>
      <c r="R218" s="218"/>
    </row>
    <row r="219" spans="1:18" ht="12.75" hidden="1" outlineLevel="1" x14ac:dyDescent="0.2">
      <c r="A219" s="185"/>
      <c r="B219" s="185"/>
      <c r="C219" s="191"/>
      <c r="D219" s="191" t="s">
        <v>414</v>
      </c>
      <c r="E219" s="296"/>
      <c r="F219" s="332">
        <v>0</v>
      </c>
      <c r="G219" s="188"/>
      <c r="H219" s="188"/>
      <c r="I219" s="188"/>
      <c r="J219" s="188"/>
      <c r="K219" s="188"/>
      <c r="L219" s="188"/>
      <c r="M219" s="188"/>
      <c r="N219" s="99"/>
      <c r="O219" s="99"/>
      <c r="P219" s="191"/>
      <c r="Q219" s="218"/>
      <c r="R219" s="218"/>
    </row>
    <row r="220" spans="1:18" ht="12.75" hidden="1" outlineLevel="1" x14ac:dyDescent="0.2">
      <c r="A220" s="185"/>
      <c r="B220" s="185"/>
      <c r="C220" s="191"/>
      <c r="D220" s="191" t="s">
        <v>194</v>
      </c>
      <c r="E220" s="296"/>
      <c r="F220" s="332">
        <v>0</v>
      </c>
      <c r="G220" s="188"/>
      <c r="H220" s="188"/>
      <c r="I220" s="188"/>
      <c r="J220" s="188"/>
      <c r="K220" s="188"/>
      <c r="L220" s="188"/>
      <c r="M220" s="188"/>
      <c r="N220" s="99"/>
      <c r="O220" s="99"/>
      <c r="P220" s="191"/>
      <c r="Q220" s="218"/>
      <c r="R220" s="218"/>
    </row>
    <row r="221" spans="1:18" ht="12.75" hidden="1" outlineLevel="1" x14ac:dyDescent="0.2">
      <c r="A221" s="185"/>
      <c r="B221" s="185"/>
      <c r="C221" s="185" t="s">
        <v>391</v>
      </c>
      <c r="D221" s="185"/>
      <c r="E221" s="296"/>
      <c r="F221" s="297">
        <f>SUM(F215:F216)-SUM(F218:F220)</f>
        <v>0</v>
      </c>
      <c r="G221" s="188"/>
      <c r="H221" s="188"/>
      <c r="I221" s="188"/>
      <c r="J221" s="188"/>
      <c r="K221" s="188"/>
      <c r="L221" s="188"/>
      <c r="M221" s="188"/>
      <c r="N221" s="99"/>
      <c r="O221" s="99"/>
      <c r="P221" s="191"/>
      <c r="Q221" s="218"/>
      <c r="R221" s="218"/>
    </row>
    <row r="222" spans="1:18" ht="12.75" hidden="1" outlineLevel="1" x14ac:dyDescent="0.2">
      <c r="A222" s="185"/>
      <c r="B222" s="185"/>
      <c r="C222" s="185"/>
      <c r="D222" s="185"/>
      <c r="E222" s="296"/>
      <c r="F222" s="297"/>
      <c r="G222" s="188"/>
      <c r="H222" s="188"/>
      <c r="I222" s="188"/>
      <c r="J222" s="188"/>
      <c r="K222" s="188"/>
      <c r="L222" s="188"/>
      <c r="M222" s="188"/>
      <c r="N222" s="99"/>
      <c r="O222" s="99"/>
      <c r="P222" s="191"/>
      <c r="Q222" s="218"/>
      <c r="R222" s="218"/>
    </row>
    <row r="223" spans="1:18" ht="12.75" hidden="1" outlineLevel="1" x14ac:dyDescent="0.2">
      <c r="A223" s="185"/>
      <c r="B223" s="185"/>
      <c r="C223" s="185"/>
      <c r="D223" s="185"/>
      <c r="E223" s="296"/>
      <c r="F223" s="297"/>
      <c r="G223" s="188"/>
      <c r="H223" s="188"/>
      <c r="I223" s="188"/>
      <c r="J223" s="188"/>
      <c r="K223" s="188"/>
      <c r="L223" s="188"/>
      <c r="M223" s="188"/>
      <c r="N223" s="99"/>
      <c r="O223" s="99"/>
      <c r="P223" s="191"/>
      <c r="Q223" s="218"/>
      <c r="R223" s="218"/>
    </row>
    <row r="224" spans="1:18" ht="12.75" collapsed="1" x14ac:dyDescent="0.2">
      <c r="A224" s="185" t="s">
        <v>415</v>
      </c>
      <c r="B224" s="185"/>
      <c r="C224" s="185"/>
      <c r="D224" s="185"/>
      <c r="E224" s="296"/>
      <c r="F224" s="321"/>
      <c r="G224" s="188"/>
      <c r="H224" s="188"/>
      <c r="I224" s="188"/>
      <c r="J224" s="188"/>
      <c r="K224" s="188"/>
      <c r="L224" s="188"/>
      <c r="M224" s="188"/>
      <c r="N224" s="99"/>
      <c r="O224" s="99"/>
      <c r="P224" s="191"/>
      <c r="Q224" s="218"/>
      <c r="R224" s="218"/>
    </row>
    <row r="225" spans="1:18" ht="12.75" hidden="1" outlineLevel="1" x14ac:dyDescent="0.2">
      <c r="A225" s="185"/>
      <c r="B225" s="191" t="s">
        <v>6</v>
      </c>
      <c r="D225" s="185"/>
      <c r="E225" s="296"/>
      <c r="F225" s="321"/>
      <c r="G225" s="188"/>
      <c r="H225" s="188"/>
      <c r="I225" s="188"/>
      <c r="J225" s="188"/>
      <c r="K225" s="188"/>
      <c r="L225" s="188"/>
      <c r="M225" s="188"/>
      <c r="N225" s="99"/>
      <c r="O225" s="99"/>
      <c r="P225" s="191"/>
      <c r="Q225" s="218"/>
      <c r="R225" s="218"/>
    </row>
    <row r="226" spans="1:18" ht="12.75" hidden="1" outlineLevel="1" x14ac:dyDescent="0.2">
      <c r="A226" s="185"/>
      <c r="B226" s="191"/>
      <c r="C226" s="191" t="s">
        <v>6</v>
      </c>
      <c r="D226" s="185"/>
      <c r="E226" s="296"/>
      <c r="F226" s="332">
        <v>0</v>
      </c>
      <c r="G226" s="188"/>
      <c r="H226" s="188"/>
      <c r="I226" s="188"/>
      <c r="J226" s="188"/>
      <c r="K226" s="188"/>
      <c r="L226" s="188"/>
      <c r="M226" s="188"/>
      <c r="N226" s="99"/>
      <c r="O226" s="99"/>
      <c r="P226" s="191"/>
      <c r="Q226" s="218"/>
      <c r="R226" s="218"/>
    </row>
    <row r="227" spans="1:18" ht="12.75" hidden="1" outlineLevel="1" x14ac:dyDescent="0.2">
      <c r="A227" s="185"/>
      <c r="B227" s="191"/>
      <c r="C227" s="245" t="s">
        <v>309</v>
      </c>
      <c r="D227" s="185"/>
      <c r="E227" s="296"/>
      <c r="F227" s="332">
        <v>0</v>
      </c>
      <c r="G227" s="188"/>
      <c r="H227" s="188"/>
      <c r="I227" s="188"/>
      <c r="J227" s="188"/>
      <c r="K227" s="188"/>
      <c r="L227" s="188"/>
      <c r="M227" s="188"/>
      <c r="N227" s="99"/>
      <c r="O227" s="99"/>
      <c r="P227" s="191"/>
      <c r="Q227" s="218"/>
      <c r="R227" s="218"/>
    </row>
    <row r="228" spans="1:18" ht="12.75" hidden="1" outlineLevel="1" x14ac:dyDescent="0.2">
      <c r="A228" s="185"/>
      <c r="B228" s="191" t="s">
        <v>35</v>
      </c>
      <c r="D228" s="185"/>
      <c r="E228" s="296"/>
      <c r="F228" s="332"/>
      <c r="G228" s="188"/>
      <c r="H228" s="188"/>
      <c r="I228" s="188"/>
      <c r="J228" s="188"/>
      <c r="K228" s="188"/>
      <c r="L228" s="188"/>
      <c r="M228" s="188"/>
      <c r="N228" s="99"/>
      <c r="O228" s="99"/>
      <c r="P228" s="191"/>
      <c r="Q228" s="218"/>
      <c r="R228" s="218"/>
    </row>
    <row r="229" spans="1:18" ht="12.75" hidden="1" outlineLevel="1" x14ac:dyDescent="0.2">
      <c r="A229" s="185"/>
      <c r="B229" s="185"/>
      <c r="C229" s="191" t="s">
        <v>416</v>
      </c>
      <c r="D229" s="185"/>
      <c r="E229" s="296"/>
      <c r="F229" s="332"/>
      <c r="G229" s="188"/>
      <c r="H229" s="188"/>
      <c r="I229" s="188"/>
      <c r="J229" s="188"/>
      <c r="K229" s="188"/>
      <c r="L229" s="188"/>
      <c r="M229" s="188"/>
      <c r="N229" s="99"/>
      <c r="O229" s="99"/>
      <c r="P229" s="191"/>
      <c r="Q229" s="218"/>
      <c r="R229" s="218"/>
    </row>
    <row r="230" spans="1:18" ht="12.75" hidden="1" outlineLevel="1" x14ac:dyDescent="0.2">
      <c r="A230" s="185"/>
      <c r="B230" s="185"/>
      <c r="D230" s="191" t="s">
        <v>326</v>
      </c>
      <c r="E230" s="321"/>
      <c r="F230" s="332">
        <f>SUM(E86:E88)</f>
        <v>3200</v>
      </c>
      <c r="G230" s="188"/>
      <c r="H230" s="188"/>
      <c r="I230" s="188"/>
      <c r="J230" s="188"/>
      <c r="K230" s="188"/>
      <c r="L230" s="188"/>
      <c r="M230" s="188"/>
      <c r="N230" s="99"/>
      <c r="O230" s="99"/>
      <c r="P230" s="191"/>
      <c r="Q230" s="218"/>
      <c r="R230" s="218"/>
    </row>
    <row r="231" spans="1:18" ht="12.75" hidden="1" outlineLevel="1" x14ac:dyDescent="0.2">
      <c r="A231" s="185"/>
      <c r="B231" s="185"/>
      <c r="D231" s="191" t="s">
        <v>170</v>
      </c>
      <c r="E231" s="321"/>
      <c r="F231" s="332">
        <f>E89</f>
        <v>1825</v>
      </c>
      <c r="G231" s="188"/>
      <c r="H231" s="188"/>
      <c r="I231" s="188"/>
      <c r="J231" s="188"/>
      <c r="K231" s="188"/>
      <c r="L231" s="188"/>
      <c r="M231" s="188"/>
      <c r="N231" s="99"/>
      <c r="O231" s="99"/>
      <c r="P231" s="191"/>
      <c r="Q231" s="218"/>
      <c r="R231" s="218"/>
    </row>
    <row r="232" spans="1:18" ht="12.75" hidden="1" outlineLevel="1" x14ac:dyDescent="0.2">
      <c r="A232" s="185"/>
      <c r="B232" s="185"/>
      <c r="D232" s="191" t="s">
        <v>417</v>
      </c>
      <c r="E232" s="321"/>
      <c r="F232" s="332">
        <f>SUM(E90:E91)</f>
        <v>300</v>
      </c>
      <c r="G232" s="188"/>
      <c r="H232" s="188"/>
      <c r="I232" s="188"/>
      <c r="J232" s="188"/>
      <c r="K232" s="188"/>
      <c r="L232" s="188"/>
      <c r="M232" s="188"/>
      <c r="N232" s="99"/>
      <c r="O232" s="99"/>
      <c r="P232" s="191"/>
      <c r="Q232" s="218"/>
      <c r="R232" s="218"/>
    </row>
    <row r="233" spans="1:18" ht="12.75" hidden="1" outlineLevel="1" x14ac:dyDescent="0.2">
      <c r="A233" s="185"/>
      <c r="B233" s="185"/>
      <c r="D233" s="191" t="s">
        <v>418</v>
      </c>
      <c r="E233" s="321"/>
      <c r="F233" s="332">
        <f>SUM(E93:E95)</f>
        <v>350</v>
      </c>
      <c r="G233" s="188"/>
      <c r="H233" s="188"/>
      <c r="I233" s="188"/>
      <c r="J233" s="188"/>
      <c r="K233" s="188"/>
      <c r="L233" s="188"/>
      <c r="M233" s="188"/>
      <c r="N233" s="99"/>
      <c r="O233" s="99"/>
      <c r="P233" s="191"/>
      <c r="Q233" s="218"/>
      <c r="R233" s="218"/>
    </row>
    <row r="234" spans="1:18" ht="12.75" hidden="1" outlineLevel="1" x14ac:dyDescent="0.2">
      <c r="A234" s="185"/>
      <c r="B234" s="185"/>
      <c r="D234" s="191" t="s">
        <v>419</v>
      </c>
      <c r="E234" s="321"/>
      <c r="F234" s="332">
        <v>0</v>
      </c>
      <c r="G234" s="188"/>
      <c r="H234" s="188"/>
      <c r="I234" s="188"/>
      <c r="J234" s="188"/>
      <c r="K234" s="188"/>
      <c r="L234" s="188"/>
      <c r="M234" s="188"/>
      <c r="N234" s="99"/>
      <c r="O234" s="99"/>
      <c r="P234" s="191"/>
      <c r="Q234" s="218"/>
      <c r="R234" s="218"/>
    </row>
    <row r="235" spans="1:18" ht="12.75" hidden="1" outlineLevel="1" x14ac:dyDescent="0.2">
      <c r="A235" s="185"/>
      <c r="B235" s="185"/>
      <c r="D235" s="191" t="s">
        <v>420</v>
      </c>
      <c r="E235" s="321"/>
      <c r="F235" s="332">
        <f>E119</f>
        <v>0</v>
      </c>
      <c r="G235" s="188"/>
      <c r="H235" s="188"/>
      <c r="I235" s="188"/>
      <c r="J235" s="188"/>
      <c r="K235" s="188"/>
      <c r="L235" s="188"/>
      <c r="M235" s="188"/>
      <c r="N235" s="99"/>
      <c r="O235" s="99"/>
      <c r="P235" s="191"/>
      <c r="Q235" s="218"/>
      <c r="R235" s="218"/>
    </row>
    <row r="236" spans="1:18" ht="12.75" hidden="1" outlineLevel="1" x14ac:dyDescent="0.2">
      <c r="A236" s="185"/>
      <c r="B236" s="185"/>
      <c r="D236" s="191" t="s">
        <v>421</v>
      </c>
      <c r="E236" s="321"/>
      <c r="F236" s="332">
        <f>SUM(E96:E98)</f>
        <v>270.798</v>
      </c>
      <c r="G236" s="188"/>
      <c r="H236" s="188"/>
      <c r="I236" s="188"/>
      <c r="J236" s="188"/>
      <c r="K236" s="188"/>
      <c r="L236" s="188"/>
      <c r="M236" s="188"/>
      <c r="N236" s="99"/>
      <c r="O236" s="99"/>
      <c r="P236" s="191"/>
      <c r="Q236" s="218"/>
      <c r="R236" s="218"/>
    </row>
    <row r="237" spans="1:18" ht="12.75" hidden="1" outlineLevel="1" x14ac:dyDescent="0.2">
      <c r="A237" s="185"/>
      <c r="B237" s="185"/>
      <c r="D237" s="191" t="s">
        <v>422</v>
      </c>
      <c r="E237" s="321"/>
      <c r="F237" s="332">
        <f>SUM(E99:E105)</f>
        <v>2412.8000000000002</v>
      </c>
      <c r="G237" s="188"/>
      <c r="H237" s="188"/>
      <c r="I237" s="188"/>
      <c r="J237" s="188"/>
      <c r="K237" s="188"/>
      <c r="L237" s="188"/>
      <c r="M237" s="188"/>
      <c r="N237" s="99"/>
      <c r="O237" s="99"/>
      <c r="P237" s="191"/>
      <c r="Q237" s="218"/>
      <c r="R237" s="218"/>
    </row>
    <row r="238" spans="1:18" ht="12.75" hidden="1" outlineLevel="1" x14ac:dyDescent="0.2">
      <c r="A238" s="185"/>
      <c r="B238" s="185"/>
      <c r="D238" s="191" t="s">
        <v>423</v>
      </c>
      <c r="E238" s="321"/>
      <c r="F238" s="332">
        <f>SUM(E106:E116)</f>
        <v>513</v>
      </c>
      <c r="G238" s="188"/>
      <c r="H238" s="188"/>
      <c r="I238" s="188"/>
      <c r="J238" s="188"/>
      <c r="K238" s="188"/>
      <c r="L238" s="188"/>
      <c r="M238" s="188"/>
      <c r="N238" s="99"/>
      <c r="O238" s="99"/>
      <c r="P238" s="191"/>
      <c r="Q238" s="218"/>
      <c r="R238" s="218"/>
    </row>
    <row r="239" spans="1:18" ht="12.75" hidden="1" outlineLevel="1" x14ac:dyDescent="0.2">
      <c r="A239" s="185"/>
      <c r="B239" s="185"/>
      <c r="D239" s="191" t="s">
        <v>424</v>
      </c>
      <c r="E239" s="321"/>
      <c r="F239" s="332">
        <f t="shared" ref="F239:F240" si="17">E117</f>
        <v>600</v>
      </c>
      <c r="G239" s="188"/>
      <c r="H239" s="188"/>
      <c r="I239" s="188"/>
      <c r="J239" s="188"/>
      <c r="K239" s="188"/>
      <c r="L239" s="188"/>
      <c r="M239" s="188"/>
      <c r="N239" s="99"/>
      <c r="O239" s="99"/>
      <c r="P239" s="191"/>
      <c r="Q239" s="218"/>
      <c r="R239" s="218"/>
    </row>
    <row r="240" spans="1:18" ht="12.75" hidden="1" outlineLevel="1" x14ac:dyDescent="0.2">
      <c r="A240" s="185"/>
      <c r="B240" s="185"/>
      <c r="D240" s="191" t="s">
        <v>360</v>
      </c>
      <c r="E240" s="321"/>
      <c r="F240" s="332">
        <f t="shared" si="17"/>
        <v>10</v>
      </c>
      <c r="G240" s="188"/>
      <c r="H240" s="188"/>
      <c r="I240" s="188"/>
      <c r="J240" s="188"/>
      <c r="K240" s="188"/>
      <c r="L240" s="188"/>
      <c r="M240" s="188"/>
      <c r="N240" s="99"/>
      <c r="O240" s="99"/>
      <c r="P240" s="191"/>
      <c r="Q240" s="218"/>
      <c r="R240" s="218"/>
    </row>
    <row r="241" spans="1:18" ht="12.75" hidden="1" outlineLevel="1" x14ac:dyDescent="0.2">
      <c r="A241" s="185"/>
      <c r="B241" s="185"/>
      <c r="D241" s="191" t="s">
        <v>363</v>
      </c>
      <c r="E241" s="321"/>
      <c r="F241" s="332">
        <f>E120</f>
        <v>250</v>
      </c>
      <c r="G241" s="188"/>
      <c r="H241" s="188"/>
      <c r="I241" s="188"/>
      <c r="J241" s="188"/>
      <c r="K241" s="188"/>
      <c r="L241" s="188"/>
      <c r="M241" s="188"/>
      <c r="N241" s="99"/>
      <c r="O241" s="99"/>
      <c r="P241" s="191"/>
      <c r="Q241" s="218"/>
      <c r="R241" s="218"/>
    </row>
    <row r="242" spans="1:18" ht="12.75" hidden="1" outlineLevel="1" x14ac:dyDescent="0.2">
      <c r="A242" s="185"/>
      <c r="B242" s="185"/>
      <c r="D242" s="191" t="s">
        <v>348</v>
      </c>
      <c r="E242" s="321"/>
      <c r="F242" s="332">
        <v>0</v>
      </c>
      <c r="G242" s="188"/>
      <c r="H242" s="188"/>
      <c r="I242" s="188"/>
      <c r="J242" s="188"/>
      <c r="K242" s="188"/>
      <c r="L242" s="188"/>
      <c r="M242" s="188"/>
      <c r="N242" s="99"/>
      <c r="O242" s="99"/>
      <c r="P242" s="191"/>
      <c r="Q242" s="218"/>
      <c r="R242" s="218"/>
    </row>
    <row r="243" spans="1:18" ht="12.75" hidden="1" outlineLevel="1" x14ac:dyDescent="0.2">
      <c r="A243" s="185"/>
      <c r="B243" s="185"/>
      <c r="D243" s="191" t="s">
        <v>425</v>
      </c>
      <c r="E243" s="321"/>
      <c r="F243" s="332">
        <v>0</v>
      </c>
      <c r="G243" s="188"/>
      <c r="H243" s="188"/>
      <c r="I243" s="188"/>
      <c r="J243" s="188"/>
      <c r="K243" s="188"/>
      <c r="L243" s="188"/>
      <c r="M243" s="188"/>
      <c r="N243" s="99"/>
      <c r="O243" s="99"/>
      <c r="P243" s="191"/>
      <c r="Q243" s="218"/>
      <c r="R243" s="218"/>
    </row>
    <row r="244" spans="1:18" ht="12.75" hidden="1" outlineLevel="1" x14ac:dyDescent="0.2">
      <c r="A244" s="185"/>
      <c r="B244" s="185"/>
      <c r="C244" s="245" t="s">
        <v>426</v>
      </c>
      <c r="D244" s="191"/>
      <c r="E244" s="321"/>
      <c r="F244" s="335">
        <f>SUM(F230:F243)</f>
        <v>9731.598</v>
      </c>
      <c r="G244" s="188"/>
      <c r="H244" s="188"/>
      <c r="I244" s="188"/>
      <c r="J244" s="188"/>
      <c r="K244" s="188"/>
      <c r="L244" s="188"/>
      <c r="M244" s="188"/>
      <c r="N244" s="99"/>
      <c r="O244" s="99"/>
      <c r="P244" s="191"/>
      <c r="Q244" s="218"/>
      <c r="R244" s="218"/>
    </row>
    <row r="245" spans="1:18" ht="12.75" hidden="1" outlineLevel="1" x14ac:dyDescent="0.2">
      <c r="A245" s="185"/>
      <c r="B245" s="185"/>
      <c r="C245" s="245" t="s">
        <v>427</v>
      </c>
      <c r="D245" s="191"/>
      <c r="E245" s="321"/>
      <c r="F245" s="332"/>
      <c r="G245" s="188"/>
      <c r="H245" s="188"/>
      <c r="I245" s="188"/>
      <c r="J245" s="188"/>
      <c r="K245" s="188"/>
      <c r="L245" s="188"/>
      <c r="M245" s="188"/>
      <c r="N245" s="99"/>
      <c r="O245" s="99"/>
      <c r="P245" s="191"/>
      <c r="Q245" s="218"/>
      <c r="R245" s="218"/>
    </row>
    <row r="246" spans="1:18" ht="12.75" hidden="1" outlineLevel="1" x14ac:dyDescent="0.2">
      <c r="A246" s="185"/>
      <c r="B246" s="185"/>
      <c r="D246" s="191" t="str">
        <f t="shared" ref="D246:D247" si="18">D123</f>
        <v>Digital upgrade</v>
      </c>
      <c r="E246" s="321"/>
      <c r="F246" s="332">
        <f t="shared" ref="F246:F247" si="19">E123</f>
        <v>22900</v>
      </c>
      <c r="G246" s="188"/>
      <c r="H246" s="188"/>
      <c r="I246" s="188"/>
      <c r="J246" s="188"/>
      <c r="K246" s="188"/>
      <c r="L246" s="188"/>
      <c r="M246" s="188"/>
      <c r="N246" s="99"/>
      <c r="O246" s="99"/>
      <c r="P246" s="191"/>
      <c r="Q246" s="218"/>
      <c r="R246" s="218"/>
    </row>
    <row r="247" spans="1:18" ht="12.75" hidden="1" outlineLevel="1" x14ac:dyDescent="0.2">
      <c r="A247" s="185"/>
      <c r="B247" s="185"/>
      <c r="D247" s="191" t="str">
        <f t="shared" si="18"/>
        <v>Strategic planning</v>
      </c>
      <c r="E247" s="321"/>
      <c r="F247" s="332">
        <f t="shared" si="19"/>
        <v>6666.666666666667</v>
      </c>
      <c r="G247" s="188"/>
      <c r="H247" s="188"/>
      <c r="I247" s="188"/>
      <c r="J247" s="188"/>
      <c r="K247" s="188"/>
      <c r="L247" s="188"/>
      <c r="M247" s="188"/>
      <c r="N247" s="99"/>
      <c r="O247" s="99"/>
      <c r="P247" s="191"/>
      <c r="Q247" s="218"/>
      <c r="R247" s="218"/>
    </row>
    <row r="248" spans="1:18" ht="12.75" hidden="1" outlineLevel="1" x14ac:dyDescent="0.2">
      <c r="A248" s="185"/>
      <c r="B248" s="185"/>
      <c r="D248" s="191" t="s">
        <v>428</v>
      </c>
      <c r="E248" s="321"/>
      <c r="F248" s="332">
        <v>0</v>
      </c>
      <c r="G248" s="188"/>
      <c r="H248" s="188"/>
      <c r="I248" s="188"/>
      <c r="J248" s="188"/>
      <c r="K248" s="188"/>
      <c r="L248" s="188"/>
      <c r="M248" s="188"/>
      <c r="N248" s="99"/>
      <c r="O248" s="99"/>
      <c r="P248" s="191"/>
      <c r="Q248" s="218"/>
      <c r="R248" s="218"/>
    </row>
    <row r="249" spans="1:18" ht="12.75" hidden="1" outlineLevel="1" x14ac:dyDescent="0.2">
      <c r="A249" s="185"/>
      <c r="B249" s="185"/>
      <c r="C249" s="245" t="s">
        <v>429</v>
      </c>
      <c r="D249" s="191"/>
      <c r="E249" s="321"/>
      <c r="F249" s="336">
        <f>SUM(F246:F248)</f>
        <v>29566.666666666668</v>
      </c>
      <c r="G249" s="188"/>
      <c r="H249" s="188"/>
      <c r="I249" s="188"/>
      <c r="J249" s="188"/>
      <c r="K249" s="188"/>
      <c r="L249" s="188"/>
      <c r="M249" s="188"/>
      <c r="N249" s="99"/>
      <c r="O249" s="99"/>
      <c r="P249" s="191"/>
      <c r="Q249" s="218"/>
      <c r="R249" s="218"/>
    </row>
    <row r="250" spans="1:18" ht="13.5" hidden="1" outlineLevel="1" thickBot="1" x14ac:dyDescent="0.25">
      <c r="A250" s="185"/>
      <c r="B250" s="185" t="s">
        <v>391</v>
      </c>
      <c r="C250" s="185"/>
      <c r="D250" s="185"/>
      <c r="E250" s="296"/>
      <c r="F250" s="333">
        <f>SUM(F226:F227)-F244-F249</f>
        <v>-39298.26466666667</v>
      </c>
      <c r="G250" s="188"/>
      <c r="H250" s="188"/>
      <c r="I250" s="188"/>
      <c r="J250" s="188"/>
      <c r="K250" s="188"/>
      <c r="L250" s="188"/>
      <c r="M250" s="188"/>
      <c r="N250" s="99"/>
      <c r="O250" s="99"/>
      <c r="P250" s="191"/>
      <c r="Q250" s="218"/>
      <c r="R250" s="218"/>
    </row>
    <row r="251" spans="1:18" ht="12.75" hidden="1" outlineLevel="1" x14ac:dyDescent="0.2">
      <c r="A251" s="185"/>
      <c r="B251" s="185"/>
      <c r="C251" s="185"/>
      <c r="D251" s="185"/>
      <c r="E251" s="296"/>
      <c r="F251" s="321"/>
      <c r="G251" s="188"/>
      <c r="H251" s="188"/>
      <c r="I251" s="188"/>
      <c r="J251" s="188"/>
      <c r="K251" s="188"/>
      <c r="L251" s="188"/>
      <c r="M251" s="188"/>
      <c r="N251" s="99"/>
      <c r="O251" s="99"/>
      <c r="P251" s="191"/>
      <c r="Q251" s="218"/>
      <c r="R251" s="218"/>
    </row>
    <row r="252" spans="1:18" ht="12.75" hidden="1" outlineLevel="1" x14ac:dyDescent="0.2">
      <c r="A252" s="185"/>
      <c r="B252" s="185"/>
      <c r="C252" s="185"/>
      <c r="D252" s="185"/>
      <c r="E252" s="296"/>
      <c r="F252" s="321"/>
      <c r="G252" s="188"/>
      <c r="H252" s="188"/>
      <c r="I252" s="188"/>
      <c r="J252" s="188"/>
      <c r="K252" s="188"/>
      <c r="L252" s="188"/>
      <c r="M252" s="188"/>
      <c r="N252" s="99"/>
      <c r="O252" s="99"/>
      <c r="P252" s="191"/>
      <c r="Q252" s="218"/>
      <c r="R252" s="218"/>
    </row>
    <row r="253" spans="1:18" ht="12.75" collapsed="1" x14ac:dyDescent="0.2">
      <c r="A253" s="185" t="s">
        <v>430</v>
      </c>
      <c r="B253" s="185"/>
      <c r="C253" s="185"/>
      <c r="D253" s="185"/>
      <c r="E253" s="296"/>
      <c r="F253" s="321"/>
      <c r="G253" s="188"/>
      <c r="H253" s="188"/>
      <c r="I253" s="188"/>
      <c r="J253" s="188"/>
      <c r="K253" s="188"/>
      <c r="L253" s="188"/>
      <c r="M253" s="188"/>
      <c r="N253" s="99"/>
      <c r="O253" s="99"/>
      <c r="P253" s="191"/>
      <c r="Q253" s="218"/>
      <c r="R253" s="218"/>
    </row>
    <row r="254" spans="1:18" ht="12.75" hidden="1" outlineLevel="1" x14ac:dyDescent="0.2">
      <c r="A254" s="185"/>
      <c r="B254" s="258" t="s">
        <v>407</v>
      </c>
      <c r="C254" s="185"/>
      <c r="D254" s="185"/>
      <c r="E254" s="296"/>
      <c r="F254" s="321"/>
      <c r="G254" s="188"/>
      <c r="H254" s="188"/>
      <c r="I254" s="188"/>
      <c r="J254" s="188"/>
      <c r="K254" s="188"/>
      <c r="L254" s="188"/>
      <c r="M254" s="188"/>
      <c r="N254" s="99"/>
      <c r="O254" s="99"/>
      <c r="P254" s="191"/>
      <c r="Q254" s="218"/>
      <c r="R254" s="218"/>
    </row>
    <row r="255" spans="1:18" ht="12.75" hidden="1" outlineLevel="1" x14ac:dyDescent="0.2">
      <c r="A255" s="185"/>
      <c r="B255" s="99"/>
      <c r="C255" s="191" t="s">
        <v>6</v>
      </c>
      <c r="D255" s="185"/>
      <c r="E255" s="296"/>
      <c r="F255" s="321"/>
      <c r="G255" s="188"/>
      <c r="H255" s="188"/>
      <c r="I255" s="188"/>
      <c r="J255" s="188"/>
      <c r="K255" s="188"/>
      <c r="L255" s="188"/>
      <c r="M255" s="188"/>
      <c r="N255" s="99"/>
      <c r="O255" s="99"/>
      <c r="P255" s="191"/>
      <c r="Q255" s="218"/>
      <c r="R255" s="218"/>
    </row>
    <row r="256" spans="1:18" ht="12.75" hidden="1" outlineLevel="1" x14ac:dyDescent="0.2">
      <c r="A256" s="185"/>
      <c r="B256" s="185"/>
      <c r="C256" s="185"/>
      <c r="D256" s="191" t="s">
        <v>431</v>
      </c>
      <c r="E256" s="296"/>
      <c r="F256" s="321"/>
      <c r="G256" s="188"/>
      <c r="H256" s="188"/>
      <c r="I256" s="188"/>
      <c r="J256" s="188"/>
      <c r="K256" s="188"/>
      <c r="L256" s="188"/>
      <c r="M256" s="188"/>
      <c r="N256" s="99"/>
      <c r="O256" s="99"/>
      <c r="P256" s="191"/>
      <c r="Q256" s="218"/>
      <c r="R256" s="218"/>
    </row>
    <row r="257" spans="1:18" ht="12.75" hidden="1" outlineLevel="1" x14ac:dyDescent="0.2">
      <c r="A257" s="185"/>
      <c r="B257" s="185"/>
      <c r="C257" s="185"/>
      <c r="D257" s="191" t="s">
        <v>432</v>
      </c>
      <c r="E257" s="296"/>
      <c r="F257" s="321"/>
      <c r="G257" s="188"/>
      <c r="H257" s="188"/>
      <c r="I257" s="188"/>
      <c r="J257" s="188"/>
      <c r="K257" s="188"/>
      <c r="L257" s="188"/>
      <c r="M257" s="188"/>
      <c r="N257" s="99"/>
      <c r="O257" s="99"/>
      <c r="P257" s="191"/>
      <c r="Q257" s="218"/>
      <c r="R257" s="218"/>
    </row>
    <row r="258" spans="1:18" ht="12.75" hidden="1" outlineLevel="1" x14ac:dyDescent="0.2">
      <c r="A258" s="191"/>
      <c r="B258" s="191"/>
      <c r="C258" s="191"/>
      <c r="D258" s="191" t="s">
        <v>433</v>
      </c>
      <c r="E258" s="296"/>
      <c r="F258" s="314"/>
      <c r="G258" s="188"/>
      <c r="H258" s="188"/>
      <c r="I258" s="188"/>
      <c r="J258" s="188"/>
      <c r="K258" s="188"/>
      <c r="L258" s="188"/>
      <c r="M258" s="188"/>
      <c r="N258" s="99"/>
      <c r="O258" s="99"/>
      <c r="P258" s="191"/>
      <c r="Q258" s="218"/>
      <c r="R258" s="218"/>
    </row>
    <row r="259" spans="1:18" ht="12.75" hidden="1" outlineLevel="1" x14ac:dyDescent="0.2">
      <c r="A259" s="191"/>
      <c r="B259" s="191"/>
      <c r="C259" s="191" t="s">
        <v>35</v>
      </c>
      <c r="D259" s="191"/>
      <c r="E259" s="296"/>
      <c r="F259" s="314"/>
      <c r="G259" s="188"/>
      <c r="H259" s="188"/>
      <c r="I259" s="188"/>
      <c r="J259" s="188"/>
      <c r="K259" s="188"/>
      <c r="L259" s="188"/>
      <c r="M259" s="188"/>
      <c r="N259" s="99"/>
      <c r="O259" s="99"/>
      <c r="P259" s="191"/>
      <c r="Q259" s="218"/>
      <c r="R259" s="218"/>
    </row>
    <row r="260" spans="1:18" ht="12.75" hidden="1" outlineLevel="1" x14ac:dyDescent="0.2">
      <c r="A260" s="191"/>
      <c r="B260" s="191"/>
      <c r="C260" s="191"/>
      <c r="D260" s="191" t="s">
        <v>326</v>
      </c>
      <c r="E260" s="296"/>
      <c r="F260" s="314"/>
      <c r="G260" s="188"/>
      <c r="H260" s="188"/>
      <c r="I260" s="188"/>
      <c r="J260" s="188"/>
      <c r="K260" s="188"/>
      <c r="L260" s="188"/>
      <c r="M260" s="188"/>
      <c r="N260" s="99"/>
      <c r="O260" s="99"/>
      <c r="P260" s="191"/>
      <c r="Q260" s="218"/>
      <c r="R260" s="218"/>
    </row>
    <row r="261" spans="1:18" ht="12.75" hidden="1" outlineLevel="1" x14ac:dyDescent="0.2">
      <c r="A261" s="191"/>
      <c r="B261" s="191"/>
      <c r="C261" s="191"/>
      <c r="D261" s="191" t="s">
        <v>425</v>
      </c>
      <c r="E261" s="296"/>
      <c r="F261" s="314"/>
      <c r="G261" s="188"/>
      <c r="H261" s="188"/>
      <c r="I261" s="188"/>
      <c r="J261" s="188"/>
      <c r="K261" s="188"/>
      <c r="L261" s="188"/>
      <c r="M261" s="188"/>
      <c r="N261" s="99"/>
      <c r="O261" s="99"/>
      <c r="P261" s="191"/>
      <c r="Q261" s="218"/>
      <c r="R261" s="218"/>
    </row>
    <row r="262" spans="1:18" ht="12.75" hidden="1" outlineLevel="1" x14ac:dyDescent="0.2">
      <c r="A262" s="191"/>
      <c r="B262" s="191"/>
      <c r="C262" s="191"/>
      <c r="D262" s="191" t="s">
        <v>434</v>
      </c>
      <c r="E262" s="296"/>
      <c r="F262" s="314"/>
      <c r="G262" s="188"/>
      <c r="H262" s="188"/>
      <c r="I262" s="188"/>
      <c r="J262" s="188"/>
      <c r="K262" s="188"/>
      <c r="L262" s="188"/>
      <c r="M262" s="188"/>
      <c r="N262" s="99"/>
      <c r="O262" s="99"/>
      <c r="P262" s="191"/>
      <c r="Q262" s="218"/>
      <c r="R262" s="218"/>
    </row>
    <row r="263" spans="1:18" ht="12.75" hidden="1" outlineLevel="1" x14ac:dyDescent="0.2">
      <c r="A263" s="191"/>
      <c r="B263" s="191"/>
      <c r="C263" s="191" t="s">
        <v>435</v>
      </c>
      <c r="D263" s="191"/>
      <c r="E263" s="296"/>
      <c r="F263" s="311">
        <v>0</v>
      </c>
      <c r="G263" s="188"/>
      <c r="H263" s="188"/>
      <c r="I263" s="188"/>
      <c r="J263" s="188"/>
      <c r="K263" s="188"/>
      <c r="L263" s="188"/>
      <c r="M263" s="188"/>
      <c r="N263" s="99"/>
      <c r="O263" s="99"/>
      <c r="P263" s="191"/>
      <c r="Q263" s="218"/>
      <c r="R263" s="218"/>
    </row>
    <row r="264" spans="1:18" ht="12.75" hidden="1" outlineLevel="1" x14ac:dyDescent="0.2">
      <c r="A264" s="191"/>
      <c r="B264" s="191"/>
      <c r="C264" s="191"/>
      <c r="D264" s="191"/>
      <c r="E264" s="296"/>
      <c r="F264" s="314"/>
      <c r="G264" s="188"/>
      <c r="H264" s="188"/>
      <c r="I264" s="188"/>
      <c r="J264" s="188"/>
      <c r="K264" s="188"/>
      <c r="L264" s="188"/>
      <c r="M264" s="188"/>
      <c r="N264" s="99"/>
      <c r="O264" s="99"/>
      <c r="P264" s="191"/>
      <c r="Q264" s="218"/>
      <c r="R264" s="218"/>
    </row>
    <row r="265" spans="1:18" ht="12.75" hidden="1" outlineLevel="1" x14ac:dyDescent="0.2">
      <c r="A265" s="191"/>
      <c r="B265" s="191"/>
      <c r="C265" s="191"/>
      <c r="D265" s="191"/>
      <c r="E265" s="296"/>
      <c r="F265" s="314"/>
      <c r="G265" s="188"/>
      <c r="H265" s="188"/>
      <c r="I265" s="188"/>
      <c r="J265" s="188"/>
      <c r="K265" s="188"/>
      <c r="L265" s="188"/>
      <c r="M265" s="188"/>
      <c r="N265" s="99"/>
      <c r="O265" s="99"/>
      <c r="P265" s="191"/>
      <c r="Q265" s="218"/>
      <c r="R265" s="218"/>
    </row>
    <row r="266" spans="1:18" ht="12.75" hidden="1" outlineLevel="1" x14ac:dyDescent="0.2">
      <c r="A266" s="191"/>
      <c r="B266" s="191"/>
      <c r="C266" s="191"/>
      <c r="D266" s="191"/>
      <c r="E266" s="296"/>
      <c r="F266" s="314"/>
      <c r="G266" s="188"/>
      <c r="H266" s="188"/>
      <c r="I266" s="188"/>
      <c r="J266" s="188"/>
      <c r="K266" s="188"/>
      <c r="L266" s="188"/>
      <c r="M266" s="188"/>
      <c r="N266" s="99"/>
      <c r="O266" s="99"/>
      <c r="P266" s="191"/>
      <c r="Q266" s="218"/>
      <c r="R266" s="218"/>
    </row>
    <row r="267" spans="1:18" ht="12.75" hidden="1" outlineLevel="1" x14ac:dyDescent="0.2">
      <c r="A267" s="191"/>
      <c r="B267" s="191"/>
      <c r="C267" s="191"/>
      <c r="D267" s="191"/>
      <c r="E267" s="296"/>
      <c r="F267" s="314"/>
      <c r="G267" s="188"/>
      <c r="H267" s="188"/>
      <c r="I267" s="188"/>
      <c r="J267" s="188"/>
      <c r="K267" s="188"/>
      <c r="L267" s="188"/>
      <c r="M267" s="188"/>
      <c r="N267" s="99"/>
      <c r="O267" s="99"/>
      <c r="P267" s="191"/>
      <c r="Q267" s="218"/>
      <c r="R267" s="218"/>
    </row>
    <row r="268" spans="1:18" ht="12.75" hidden="1" outlineLevel="1" x14ac:dyDescent="0.2">
      <c r="A268" s="191"/>
      <c r="B268" s="191"/>
      <c r="C268" s="191"/>
      <c r="D268" s="191"/>
      <c r="E268" s="296"/>
      <c r="F268" s="314"/>
      <c r="G268" s="188"/>
      <c r="H268" s="188"/>
      <c r="I268" s="188"/>
      <c r="J268" s="188"/>
      <c r="K268" s="188"/>
      <c r="L268" s="188"/>
      <c r="M268" s="188"/>
      <c r="N268" s="99"/>
      <c r="O268" s="99"/>
      <c r="P268" s="191"/>
      <c r="Q268" s="218"/>
      <c r="R268" s="218"/>
    </row>
    <row r="269" spans="1:18" ht="12.75" collapsed="1" x14ac:dyDescent="0.2">
      <c r="A269" s="185" t="s">
        <v>436</v>
      </c>
      <c r="B269" s="191"/>
      <c r="C269" s="185"/>
      <c r="D269" s="185"/>
      <c r="E269" s="296"/>
      <c r="F269" s="321"/>
      <c r="G269" s="188"/>
      <c r="H269" s="188"/>
      <c r="I269" s="188"/>
      <c r="J269" s="188"/>
      <c r="K269" s="188"/>
      <c r="L269" s="188"/>
      <c r="M269" s="188"/>
      <c r="N269" s="99"/>
      <c r="O269" s="99"/>
      <c r="P269" s="191"/>
      <c r="Q269" s="218"/>
      <c r="R269" s="218"/>
    </row>
    <row r="270" spans="1:18" ht="12.75" hidden="1" outlineLevel="1" x14ac:dyDescent="0.2">
      <c r="A270" s="185"/>
      <c r="B270" s="95" t="s">
        <v>437</v>
      </c>
      <c r="C270" s="185"/>
      <c r="D270" s="185"/>
      <c r="E270" s="296"/>
      <c r="G270" s="256">
        <v>0</v>
      </c>
      <c r="H270" s="188"/>
      <c r="I270" s="188"/>
      <c r="J270" s="188"/>
      <c r="K270" s="188"/>
      <c r="L270" s="188"/>
      <c r="M270" s="188"/>
      <c r="N270" s="99"/>
      <c r="O270" s="99"/>
      <c r="P270" s="191"/>
      <c r="Q270" s="218"/>
      <c r="R270" s="218"/>
    </row>
    <row r="271" spans="1:18" ht="12.75" hidden="1" outlineLevel="1" x14ac:dyDescent="0.2">
      <c r="A271" s="185"/>
      <c r="B271" s="95" t="s">
        <v>438</v>
      </c>
      <c r="C271" s="185"/>
      <c r="D271" s="185"/>
      <c r="E271" s="296"/>
      <c r="G271" s="256">
        <v>0</v>
      </c>
      <c r="H271" s="188"/>
      <c r="I271" s="188"/>
      <c r="J271" s="188"/>
      <c r="K271" s="188"/>
      <c r="L271" s="188"/>
      <c r="M271" s="188"/>
      <c r="N271" s="99"/>
      <c r="O271" s="99"/>
      <c r="P271" s="191"/>
      <c r="Q271" s="218"/>
      <c r="R271" s="218"/>
    </row>
    <row r="272" spans="1:18" ht="12.75" hidden="1" outlineLevel="1" x14ac:dyDescent="0.2">
      <c r="A272" s="185"/>
      <c r="B272" s="95" t="s">
        <v>439</v>
      </c>
      <c r="C272" s="185"/>
      <c r="D272" s="185"/>
      <c r="E272" s="296"/>
      <c r="G272" s="256">
        <f>E135</f>
        <v>0</v>
      </c>
      <c r="H272" s="188"/>
      <c r="I272" s="188"/>
      <c r="J272" s="188"/>
      <c r="K272" s="188"/>
      <c r="L272" s="188"/>
      <c r="M272" s="188"/>
      <c r="N272" s="99"/>
      <c r="O272" s="99"/>
      <c r="P272" s="191"/>
      <c r="Q272" s="218"/>
      <c r="R272" s="218"/>
    </row>
    <row r="273" spans="1:18" ht="13.5" hidden="1" outlineLevel="1" thickBot="1" x14ac:dyDescent="0.25">
      <c r="A273" s="185"/>
      <c r="B273" s="185" t="s">
        <v>440</v>
      </c>
      <c r="C273" s="185"/>
      <c r="D273" s="185"/>
      <c r="E273" s="296"/>
      <c r="G273" s="257">
        <f>SUM(G270:G272)</f>
        <v>0</v>
      </c>
      <c r="H273" s="188"/>
      <c r="I273" s="188"/>
      <c r="J273" s="188"/>
      <c r="K273" s="188"/>
      <c r="L273" s="188"/>
      <c r="M273" s="188"/>
      <c r="N273" s="99"/>
      <c r="O273" s="99"/>
      <c r="P273" s="191"/>
      <c r="Q273" s="218"/>
      <c r="R273" s="218"/>
    </row>
    <row r="274" spans="1:18" ht="12.75" hidden="1" outlineLevel="1" x14ac:dyDescent="0.2">
      <c r="A274" s="185"/>
      <c r="B274" s="185"/>
      <c r="C274" s="185"/>
      <c r="D274" s="185"/>
      <c r="E274" s="296"/>
      <c r="G274" s="259"/>
      <c r="H274" s="188"/>
      <c r="I274" s="188"/>
      <c r="J274" s="188"/>
      <c r="K274" s="188"/>
      <c r="L274" s="188"/>
      <c r="M274" s="188"/>
      <c r="N274" s="99"/>
      <c r="O274" s="99"/>
      <c r="P274" s="191"/>
      <c r="Q274" s="218"/>
      <c r="R274" s="218"/>
    </row>
    <row r="275" spans="1:18" ht="12.75" hidden="1" outlineLevel="1" x14ac:dyDescent="0.2">
      <c r="A275" s="185"/>
      <c r="B275" s="185"/>
      <c r="C275" s="185"/>
      <c r="D275" s="185"/>
      <c r="E275" s="296"/>
      <c r="G275" s="259"/>
      <c r="H275" s="188"/>
      <c r="I275" s="188"/>
      <c r="J275" s="188"/>
      <c r="K275" s="188"/>
      <c r="L275" s="188"/>
      <c r="M275" s="188"/>
      <c r="N275" s="99"/>
      <c r="O275" s="99"/>
      <c r="P275" s="191"/>
      <c r="Q275" s="218"/>
      <c r="R275" s="218"/>
    </row>
    <row r="276" spans="1:18" ht="12.75" collapsed="1" x14ac:dyDescent="0.2">
      <c r="A276" s="185" t="s">
        <v>441</v>
      </c>
      <c r="B276" s="185"/>
      <c r="C276" s="185"/>
      <c r="D276" s="185"/>
      <c r="E276" s="296"/>
      <c r="F276" s="321"/>
      <c r="G276" s="188"/>
      <c r="H276" s="188"/>
      <c r="I276" s="188"/>
      <c r="J276" s="188"/>
      <c r="K276" s="188"/>
      <c r="L276" s="188"/>
      <c r="M276" s="188"/>
      <c r="N276" s="99"/>
      <c r="O276" s="99"/>
      <c r="P276" s="191"/>
      <c r="Q276" s="218"/>
      <c r="R276" s="218"/>
    </row>
    <row r="277" spans="1:18" ht="12.75" hidden="1" outlineLevel="1" x14ac:dyDescent="0.2">
      <c r="A277" s="185"/>
      <c r="B277" s="185" t="s">
        <v>442</v>
      </c>
      <c r="C277" s="185"/>
      <c r="D277" s="185"/>
      <c r="E277" s="296"/>
      <c r="F277" s="321"/>
      <c r="G277" s="188"/>
      <c r="H277" s="188"/>
      <c r="I277" s="188"/>
      <c r="J277" s="188"/>
      <c r="K277" s="188"/>
      <c r="L277" s="188"/>
      <c r="M277" s="188"/>
      <c r="N277" s="99"/>
      <c r="O277" s="99"/>
      <c r="P277" s="191"/>
      <c r="Q277" s="218"/>
      <c r="R277" s="218"/>
    </row>
    <row r="278" spans="1:18" ht="12.75" hidden="1" outlineLevel="1" x14ac:dyDescent="0.2">
      <c r="A278" s="185"/>
      <c r="B278" s="185"/>
      <c r="C278" s="191" t="s">
        <v>6</v>
      </c>
      <c r="D278" s="185"/>
      <c r="E278" s="296"/>
      <c r="F278" s="321"/>
      <c r="G278" s="188"/>
      <c r="H278" s="188"/>
      <c r="I278" s="188"/>
      <c r="J278" s="188"/>
      <c r="K278" s="188"/>
      <c r="L278" s="188"/>
      <c r="M278" s="188"/>
      <c r="N278" s="99"/>
      <c r="O278" s="99"/>
      <c r="P278" s="191"/>
      <c r="Q278" s="218"/>
      <c r="R278" s="218"/>
    </row>
    <row r="279" spans="1:18" ht="12.75" hidden="1" outlineLevel="1" x14ac:dyDescent="0.2">
      <c r="A279" s="185"/>
      <c r="B279" s="185"/>
      <c r="C279" s="191"/>
      <c r="D279" s="191" t="s">
        <v>432</v>
      </c>
      <c r="E279" s="296"/>
      <c r="F279" s="332">
        <v>0</v>
      </c>
      <c r="G279" s="188"/>
      <c r="H279" s="188"/>
      <c r="I279" s="188"/>
      <c r="J279" s="188"/>
      <c r="K279" s="188"/>
      <c r="L279" s="188"/>
      <c r="M279" s="188"/>
      <c r="N279" s="99"/>
      <c r="O279" s="99"/>
      <c r="P279" s="191"/>
      <c r="Q279" s="218"/>
      <c r="R279" s="218"/>
    </row>
    <row r="280" spans="1:18" ht="12.75" hidden="1" outlineLevel="1" x14ac:dyDescent="0.2">
      <c r="A280" s="185"/>
      <c r="B280" s="185"/>
      <c r="C280" s="191"/>
      <c r="D280" s="191" t="s">
        <v>285</v>
      </c>
      <c r="E280" s="296"/>
      <c r="F280" s="332">
        <v>0</v>
      </c>
      <c r="G280" s="188"/>
      <c r="H280" s="188"/>
      <c r="I280" s="188"/>
      <c r="J280" s="188"/>
      <c r="K280" s="188"/>
      <c r="L280" s="188"/>
      <c r="M280" s="188"/>
      <c r="N280" s="99"/>
      <c r="O280" s="99"/>
      <c r="P280" s="191"/>
      <c r="Q280" s="218"/>
      <c r="R280" s="218"/>
    </row>
    <row r="281" spans="1:18" ht="12.75" hidden="1" outlineLevel="1" x14ac:dyDescent="0.2">
      <c r="A281" s="185"/>
      <c r="B281" s="185"/>
      <c r="C281" s="191" t="s">
        <v>35</v>
      </c>
      <c r="D281" s="191"/>
      <c r="E281" s="296"/>
      <c r="F281" s="332"/>
      <c r="G281" s="188" t="s">
        <v>443</v>
      </c>
      <c r="H281" s="188"/>
      <c r="I281" s="188"/>
      <c r="J281" s="188"/>
      <c r="K281" s="188"/>
      <c r="L281" s="188"/>
      <c r="M281" s="188"/>
      <c r="N281" s="99"/>
      <c r="O281" s="99"/>
      <c r="P281" s="191"/>
      <c r="Q281" s="218"/>
      <c r="R281" s="218"/>
    </row>
    <row r="282" spans="1:18" ht="12.75" hidden="1" outlineLevel="1" x14ac:dyDescent="0.2">
      <c r="A282" s="185"/>
      <c r="B282" s="185"/>
      <c r="C282" s="191"/>
      <c r="D282" s="191" t="s">
        <v>444</v>
      </c>
      <c r="E282" s="296"/>
      <c r="F282" s="332">
        <v>18642</v>
      </c>
      <c r="G282" s="188" t="s">
        <v>313</v>
      </c>
      <c r="H282" s="188"/>
      <c r="I282" s="188"/>
      <c r="J282" s="188"/>
      <c r="K282" s="188"/>
      <c r="L282" s="188"/>
      <c r="M282" s="188"/>
      <c r="N282" s="240"/>
      <c r="O282" s="240">
        <f>O63</f>
        <v>0.5</v>
      </c>
      <c r="P282" s="191"/>
      <c r="Q282" s="218"/>
      <c r="R282" s="218"/>
    </row>
    <row r="283" spans="1:18" ht="12.75" hidden="1" outlineLevel="1" x14ac:dyDescent="0.2">
      <c r="A283" s="185"/>
      <c r="B283" s="185"/>
      <c r="C283" s="191"/>
      <c r="D283" s="191" t="s">
        <v>445</v>
      </c>
      <c r="E283" s="296"/>
      <c r="F283" s="332">
        <v>0</v>
      </c>
      <c r="G283" s="188" t="s">
        <v>325</v>
      </c>
      <c r="H283" s="188"/>
      <c r="I283" s="188"/>
      <c r="J283" s="188"/>
      <c r="K283" s="188"/>
      <c r="L283" s="188"/>
      <c r="M283" s="188"/>
      <c r="N283" s="240"/>
      <c r="O283" s="240">
        <f>O69</f>
        <v>0.32</v>
      </c>
      <c r="P283" s="191"/>
      <c r="Q283" s="218"/>
      <c r="R283" s="218"/>
    </row>
    <row r="284" spans="1:18" ht="12.75" hidden="1" outlineLevel="1" x14ac:dyDescent="0.2">
      <c r="A284" s="185"/>
      <c r="B284" s="185"/>
      <c r="C284" s="191"/>
      <c r="D284" s="191" t="s">
        <v>446</v>
      </c>
      <c r="E284" s="296"/>
      <c r="F284" s="332">
        <f>E88</f>
        <v>400</v>
      </c>
      <c r="G284" s="188" t="s">
        <v>334</v>
      </c>
      <c r="H284" s="188"/>
      <c r="I284" s="188"/>
      <c r="J284" s="188"/>
      <c r="K284" s="188"/>
      <c r="L284" s="188"/>
      <c r="M284" s="188"/>
      <c r="N284" s="240"/>
      <c r="O284" s="240">
        <f>O77</f>
        <v>0.03</v>
      </c>
      <c r="P284" s="191"/>
      <c r="Q284" s="218"/>
      <c r="R284" s="218"/>
    </row>
    <row r="285" spans="1:18" ht="12.75" hidden="1" outlineLevel="1" x14ac:dyDescent="0.2">
      <c r="A285" s="185"/>
      <c r="B285" s="185"/>
      <c r="C285" s="191"/>
      <c r="D285" s="191" t="s">
        <v>447</v>
      </c>
      <c r="E285" s="296"/>
      <c r="F285" s="332">
        <f>E87</f>
        <v>0</v>
      </c>
      <c r="G285" s="188" t="s">
        <v>448</v>
      </c>
      <c r="H285" s="188"/>
      <c r="I285" s="188"/>
      <c r="J285" s="188"/>
      <c r="K285" s="188"/>
      <c r="L285" s="188"/>
      <c r="M285" s="188"/>
      <c r="N285" s="240"/>
      <c r="O285" s="240">
        <f>O85</f>
        <v>0.15</v>
      </c>
      <c r="P285" s="191"/>
      <c r="Q285" s="218"/>
      <c r="R285" s="218"/>
    </row>
    <row r="286" spans="1:18" ht="12.75" hidden="1" outlineLevel="1" x14ac:dyDescent="0.2">
      <c r="A286" s="185"/>
      <c r="B286" s="185"/>
      <c r="C286" s="185" t="s">
        <v>391</v>
      </c>
      <c r="D286" s="185"/>
      <c r="E286" s="296"/>
      <c r="F286" s="337">
        <f>SUM(F279:F280)-SUM(F282:F285)</f>
        <v>-19042</v>
      </c>
      <c r="G286" s="188"/>
      <c r="H286" s="188"/>
      <c r="I286" s="188"/>
      <c r="J286" s="188"/>
      <c r="K286" s="188"/>
      <c r="L286" s="188"/>
      <c r="M286" s="188"/>
      <c r="N286" s="99"/>
      <c r="O286" s="240">
        <f>SUM(O282:O285)</f>
        <v>1</v>
      </c>
      <c r="P286" s="191"/>
      <c r="Q286" s="218"/>
      <c r="R286" s="218"/>
    </row>
    <row r="287" spans="1:18" ht="12.75" hidden="1" outlineLevel="1" x14ac:dyDescent="0.2">
      <c r="A287" s="185"/>
      <c r="B287" s="185"/>
      <c r="C287" s="185"/>
      <c r="D287" s="185"/>
      <c r="E287" s="296"/>
      <c r="F287" s="297"/>
      <c r="G287" s="188"/>
      <c r="H287" s="188"/>
      <c r="I287" s="188"/>
      <c r="J287" s="188"/>
      <c r="K287" s="188"/>
      <c r="L287" s="188"/>
      <c r="M287" s="188"/>
      <c r="N287" s="99"/>
      <c r="O287" s="99"/>
      <c r="P287" s="191"/>
      <c r="Q287" s="218"/>
      <c r="R287" s="218"/>
    </row>
    <row r="288" spans="1:18" ht="12.75" hidden="1" outlineLevel="1" x14ac:dyDescent="0.2">
      <c r="A288" s="185"/>
      <c r="B288" s="185" t="s">
        <v>66</v>
      </c>
      <c r="C288" s="185"/>
      <c r="D288" s="185"/>
      <c r="E288" s="296"/>
      <c r="F288" s="297"/>
      <c r="G288" s="188"/>
      <c r="H288" s="188"/>
      <c r="I288" s="188"/>
      <c r="J288" s="188"/>
      <c r="K288" s="188"/>
      <c r="L288" s="188"/>
      <c r="M288" s="188"/>
      <c r="N288" s="99"/>
      <c r="O288" s="99"/>
      <c r="P288" s="191"/>
      <c r="Q288" s="218"/>
      <c r="R288" s="218"/>
    </row>
    <row r="289" spans="1:18" ht="12.75" hidden="1" outlineLevel="1" x14ac:dyDescent="0.2">
      <c r="A289" s="185"/>
      <c r="B289" s="185"/>
      <c r="C289" s="191" t="s">
        <v>6</v>
      </c>
      <c r="D289" s="185"/>
      <c r="E289" s="296"/>
      <c r="F289" s="321"/>
      <c r="G289" s="188"/>
      <c r="H289" s="188"/>
      <c r="I289" s="188"/>
      <c r="J289" s="188"/>
      <c r="K289" s="188"/>
      <c r="L289" s="188"/>
      <c r="M289" s="188"/>
      <c r="N289" s="99"/>
      <c r="O289" s="99"/>
      <c r="P289" s="191"/>
      <c r="Q289" s="218"/>
      <c r="R289" s="218"/>
    </row>
    <row r="290" spans="1:18" ht="12.75" hidden="1" outlineLevel="1" x14ac:dyDescent="0.2">
      <c r="A290" s="185"/>
      <c r="B290" s="185"/>
      <c r="C290" s="191"/>
      <c r="D290" s="191" t="s">
        <v>449</v>
      </c>
      <c r="E290" s="296"/>
      <c r="F290" s="332">
        <f>E44</f>
        <v>7680.0999999999995</v>
      </c>
      <c r="G290" s="188"/>
      <c r="H290" s="188"/>
      <c r="I290" s="188"/>
      <c r="J290" s="188"/>
      <c r="K290" s="188"/>
      <c r="L290" s="188"/>
      <c r="M290" s="188"/>
      <c r="N290" s="99"/>
      <c r="O290" s="99"/>
      <c r="P290" s="191"/>
      <c r="Q290" s="218"/>
      <c r="R290" s="218"/>
    </row>
    <row r="291" spans="1:18" ht="12.75" hidden="1" outlineLevel="1" x14ac:dyDescent="0.2">
      <c r="A291" s="185"/>
      <c r="B291" s="185"/>
      <c r="C291" s="191"/>
      <c r="D291" s="191" t="s">
        <v>450</v>
      </c>
      <c r="E291" s="296"/>
      <c r="F291" s="332">
        <f>E37</f>
        <v>3500</v>
      </c>
      <c r="G291" s="188"/>
      <c r="H291" s="188"/>
      <c r="I291" s="188"/>
      <c r="J291" s="188"/>
      <c r="K291" s="188"/>
      <c r="L291" s="188"/>
      <c r="M291" s="188"/>
      <c r="N291" s="99"/>
      <c r="O291" s="99"/>
      <c r="P291" s="191"/>
      <c r="Q291" s="218"/>
      <c r="R291" s="218"/>
    </row>
    <row r="292" spans="1:18" ht="12.75" hidden="1" outlineLevel="1" x14ac:dyDescent="0.2">
      <c r="A292" s="185"/>
      <c r="B292" s="185"/>
      <c r="C292" s="191"/>
      <c r="D292" s="191" t="s">
        <v>194</v>
      </c>
      <c r="E292" s="296"/>
      <c r="F292" s="332">
        <v>0</v>
      </c>
      <c r="G292" s="188"/>
      <c r="H292" s="188"/>
      <c r="I292" s="188"/>
      <c r="J292" s="188"/>
      <c r="K292" s="188"/>
      <c r="L292" s="188"/>
      <c r="M292" s="188"/>
      <c r="N292" s="99"/>
      <c r="O292" s="99"/>
      <c r="P292" s="191"/>
      <c r="Q292" s="218"/>
      <c r="R292" s="218"/>
    </row>
    <row r="293" spans="1:18" ht="12.75" hidden="1" outlineLevel="1" x14ac:dyDescent="0.2">
      <c r="A293" s="185"/>
      <c r="B293" s="185"/>
      <c r="C293" s="191" t="s">
        <v>35</v>
      </c>
      <c r="D293" s="191"/>
      <c r="E293" s="296"/>
      <c r="F293" s="332"/>
      <c r="G293" s="188" t="s">
        <v>443</v>
      </c>
      <c r="H293" s="188"/>
      <c r="I293" s="188"/>
      <c r="J293" s="188"/>
      <c r="K293" s="188"/>
      <c r="L293" s="188"/>
      <c r="M293" s="188"/>
      <c r="N293" s="99"/>
      <c r="O293" s="99"/>
      <c r="P293" s="191"/>
      <c r="Q293" s="218"/>
      <c r="R293" s="218"/>
    </row>
    <row r="294" spans="1:18" ht="12.75" hidden="1" outlineLevel="1" x14ac:dyDescent="0.2">
      <c r="A294" s="185"/>
      <c r="B294" s="185"/>
      <c r="C294" s="191"/>
      <c r="D294" s="191" t="s">
        <v>444</v>
      </c>
      <c r="E294" s="296"/>
      <c r="F294" s="332">
        <f>'[2]CSJ Budgeted'!L19</f>
        <v>12053.7</v>
      </c>
      <c r="G294" s="188" t="s">
        <v>313</v>
      </c>
      <c r="H294" s="188"/>
      <c r="I294" s="188"/>
      <c r="J294" s="188"/>
      <c r="K294" s="188"/>
      <c r="L294" s="188"/>
      <c r="M294" s="188"/>
      <c r="N294" s="99"/>
      <c r="O294" s="240">
        <f>O65</f>
        <v>0.5</v>
      </c>
      <c r="P294" s="191"/>
      <c r="Q294" s="218"/>
      <c r="R294" s="218"/>
    </row>
    <row r="295" spans="1:18" ht="12.75" hidden="1" outlineLevel="1" x14ac:dyDescent="0.2">
      <c r="A295" s="185"/>
      <c r="B295" s="185"/>
      <c r="C295" s="191"/>
      <c r="D295" s="191" t="s">
        <v>451</v>
      </c>
      <c r="E295" s="296"/>
      <c r="F295" s="332">
        <v>0</v>
      </c>
      <c r="G295" s="188" t="s">
        <v>325</v>
      </c>
      <c r="H295" s="188"/>
      <c r="I295" s="188"/>
      <c r="J295" s="188"/>
      <c r="K295" s="188"/>
      <c r="L295" s="188"/>
      <c r="M295" s="188"/>
      <c r="N295" s="99"/>
      <c r="O295" s="240">
        <f>O71</f>
        <v>0.5</v>
      </c>
      <c r="P295" s="191"/>
      <c r="Q295" s="218"/>
      <c r="R295" s="218"/>
    </row>
    <row r="296" spans="1:18" ht="12.75" hidden="1" outlineLevel="1" x14ac:dyDescent="0.2">
      <c r="A296" s="185"/>
      <c r="B296" s="185"/>
      <c r="C296" s="191"/>
      <c r="D296" s="191" t="s">
        <v>446</v>
      </c>
      <c r="E296" s="296"/>
      <c r="F296" s="332">
        <f>E98</f>
        <v>0</v>
      </c>
      <c r="G296" s="188" t="s">
        <v>334</v>
      </c>
      <c r="H296" s="188"/>
      <c r="I296" s="188"/>
      <c r="J296" s="188"/>
      <c r="K296" s="188"/>
      <c r="L296" s="188"/>
      <c r="M296" s="188"/>
      <c r="N296" s="99"/>
      <c r="O296" s="240">
        <v>0</v>
      </c>
      <c r="P296" s="191"/>
      <c r="Q296" s="218"/>
      <c r="R296" s="218"/>
    </row>
    <row r="297" spans="1:18" ht="12.75" hidden="1" outlineLevel="1" x14ac:dyDescent="0.2">
      <c r="A297" s="185"/>
      <c r="B297" s="185"/>
      <c r="C297" s="191"/>
      <c r="D297" s="191" t="s">
        <v>447</v>
      </c>
      <c r="E297" s="296"/>
      <c r="F297" s="332">
        <f>E97</f>
        <v>0</v>
      </c>
      <c r="G297" s="188" t="s">
        <v>448</v>
      </c>
      <c r="H297" s="188"/>
      <c r="I297" s="188"/>
      <c r="J297" s="188"/>
      <c r="K297" s="188"/>
      <c r="L297" s="188"/>
      <c r="M297" s="188"/>
      <c r="N297" s="99"/>
      <c r="O297" s="240">
        <v>0</v>
      </c>
      <c r="P297" s="191"/>
      <c r="Q297" s="218"/>
      <c r="R297" s="218"/>
    </row>
    <row r="298" spans="1:18" ht="12.75" hidden="1" outlineLevel="1" x14ac:dyDescent="0.2">
      <c r="A298" s="185"/>
      <c r="B298" s="185"/>
      <c r="C298" s="185" t="s">
        <v>391</v>
      </c>
      <c r="D298" s="185"/>
      <c r="E298" s="296"/>
      <c r="F298" s="337">
        <f>SUM(F290:F292)-SUM(F294:F297)</f>
        <v>-873.60000000000218</v>
      </c>
      <c r="G298" s="188"/>
      <c r="H298" s="188"/>
      <c r="I298" s="188"/>
      <c r="J298" s="188"/>
      <c r="K298" s="188"/>
      <c r="L298" s="188"/>
      <c r="M298" s="188"/>
      <c r="N298" s="99"/>
      <c r="O298" s="240">
        <f>SUM(O294:O297)</f>
        <v>1</v>
      </c>
      <c r="P298" s="191"/>
      <c r="Q298" s="218"/>
      <c r="R298" s="218"/>
    </row>
    <row r="299" spans="1:18" ht="12.75" hidden="1" outlineLevel="1" x14ac:dyDescent="0.2">
      <c r="A299" s="185"/>
      <c r="B299" s="185"/>
      <c r="C299" s="185"/>
      <c r="D299" s="185"/>
      <c r="E299" s="296"/>
      <c r="F299" s="297"/>
      <c r="G299" s="188"/>
      <c r="H299" s="188"/>
      <c r="I299" s="188"/>
      <c r="J299" s="188"/>
      <c r="K299" s="188"/>
      <c r="L299" s="188"/>
      <c r="M299" s="188"/>
      <c r="N299" s="99"/>
      <c r="O299" s="99"/>
      <c r="P299" s="191"/>
      <c r="Q299" s="218"/>
      <c r="R299" s="218"/>
    </row>
    <row r="300" spans="1:18" ht="13.5" hidden="1" outlineLevel="1" thickBot="1" x14ac:dyDescent="0.25">
      <c r="A300" s="185" t="s">
        <v>452</v>
      </c>
      <c r="B300" s="185"/>
      <c r="C300" s="185"/>
      <c r="D300" s="185"/>
      <c r="E300" s="296"/>
      <c r="F300" s="333">
        <f>SUM(F282:F285)+SUM(F294:F297)</f>
        <v>31095.7</v>
      </c>
      <c r="G300" s="188"/>
      <c r="H300" s="188"/>
      <c r="I300" s="188"/>
      <c r="J300" s="188"/>
      <c r="K300" s="188"/>
      <c r="L300" s="188"/>
      <c r="M300" s="188"/>
      <c r="N300" s="99"/>
      <c r="O300" s="99"/>
      <c r="P300" s="191"/>
      <c r="Q300" s="218"/>
      <c r="R300" s="218"/>
    </row>
    <row r="301" spans="1:18" ht="12.75" hidden="1" outlineLevel="1" x14ac:dyDescent="0.2">
      <c r="A301" s="185"/>
      <c r="B301" s="185"/>
      <c r="C301" s="185"/>
      <c r="D301" s="185"/>
      <c r="E301" s="296"/>
      <c r="F301" s="338"/>
      <c r="G301" s="188"/>
      <c r="H301" s="188"/>
      <c r="I301" s="188"/>
      <c r="J301" s="188"/>
      <c r="K301" s="188"/>
      <c r="L301" s="188"/>
      <c r="M301" s="188"/>
      <c r="N301" s="99"/>
      <c r="O301" s="99"/>
      <c r="P301" s="191"/>
      <c r="Q301" s="218"/>
      <c r="R301" s="218"/>
    </row>
    <row r="302" spans="1:18" ht="12.75" hidden="1" outlineLevel="1" x14ac:dyDescent="0.2">
      <c r="A302" s="185"/>
      <c r="B302" s="185"/>
      <c r="C302" s="185"/>
      <c r="D302" s="185"/>
      <c r="E302" s="296"/>
      <c r="F302" s="338"/>
      <c r="G302" s="188"/>
      <c r="H302" s="188"/>
      <c r="I302" s="188"/>
      <c r="J302" s="188"/>
      <c r="K302" s="188"/>
      <c r="L302" s="188"/>
      <c r="M302" s="188"/>
      <c r="N302" s="99"/>
      <c r="O302" s="99"/>
      <c r="P302" s="191"/>
      <c r="Q302" s="218"/>
      <c r="R302" s="218"/>
    </row>
    <row r="303" spans="1:18" ht="12.75" x14ac:dyDescent="0.2">
      <c r="A303" s="185" t="s">
        <v>453</v>
      </c>
      <c r="B303" s="185"/>
      <c r="C303" s="185"/>
      <c r="D303" s="185"/>
      <c r="E303" s="296"/>
      <c r="F303" s="297"/>
      <c r="G303" s="188"/>
      <c r="H303" s="188"/>
      <c r="I303" s="188"/>
      <c r="J303" s="188"/>
      <c r="K303" s="188"/>
      <c r="L303" s="188"/>
      <c r="M303" s="188"/>
      <c r="N303" s="99"/>
      <c r="O303" s="99"/>
      <c r="P303" s="191"/>
      <c r="Q303" s="218"/>
      <c r="R303" s="218"/>
    </row>
    <row r="304" spans="1:18" ht="12.75" collapsed="1" x14ac:dyDescent="0.2">
      <c r="A304" s="185" t="s">
        <v>454</v>
      </c>
      <c r="B304" s="185"/>
      <c r="C304" s="185"/>
      <c r="D304" s="185"/>
      <c r="E304" s="296"/>
      <c r="F304" s="297"/>
      <c r="G304" s="188"/>
      <c r="H304" s="188"/>
      <c r="I304" s="188"/>
      <c r="J304" s="188"/>
      <c r="K304" s="188"/>
      <c r="L304" s="188"/>
      <c r="M304" s="188"/>
      <c r="N304" s="99"/>
      <c r="O304" s="99"/>
      <c r="P304" s="191"/>
      <c r="Q304" s="218"/>
      <c r="R304" s="218"/>
    </row>
    <row r="305" spans="1:18" ht="12.75" hidden="1" outlineLevel="1" x14ac:dyDescent="0.2">
      <c r="A305" s="260" t="s">
        <v>455</v>
      </c>
      <c r="B305" s="178"/>
      <c r="C305" s="178"/>
      <c r="D305" s="178"/>
      <c r="E305" s="178"/>
      <c r="F305" s="178"/>
      <c r="G305" s="178"/>
      <c r="H305" s="188"/>
      <c r="I305" s="188"/>
      <c r="J305" s="188"/>
      <c r="K305" s="188"/>
      <c r="L305" s="188"/>
      <c r="M305" s="188"/>
      <c r="N305" s="99"/>
      <c r="O305" s="99"/>
      <c r="P305" s="191"/>
      <c r="Q305" s="218"/>
      <c r="R305" s="218"/>
    </row>
    <row r="306" spans="1:18" ht="12.75" hidden="1" outlineLevel="1" x14ac:dyDescent="0.2">
      <c r="A306" s="185"/>
      <c r="F306" s="339" t="s">
        <v>264</v>
      </c>
      <c r="G306" s="218"/>
      <c r="H306" s="188"/>
      <c r="I306" s="188"/>
      <c r="J306" s="188"/>
      <c r="K306" s="188"/>
      <c r="L306" s="188"/>
      <c r="M306" s="188"/>
      <c r="N306" s="99"/>
      <c r="O306" s="99"/>
      <c r="P306" s="191"/>
      <c r="Q306" s="218"/>
      <c r="R306" s="218"/>
    </row>
    <row r="307" spans="1:18" ht="12.75" hidden="1" outlineLevel="1" x14ac:dyDescent="0.2">
      <c r="A307" s="191" t="s">
        <v>433</v>
      </c>
      <c r="C307" s="185"/>
      <c r="D307" s="185"/>
      <c r="E307" s="334"/>
      <c r="F307" s="340">
        <f>F59</f>
        <v>121000</v>
      </c>
      <c r="G307" s="218"/>
      <c r="H307" s="188"/>
      <c r="I307" s="188"/>
      <c r="J307" s="188"/>
      <c r="K307" s="188"/>
      <c r="L307" s="188"/>
      <c r="M307" s="188"/>
      <c r="N307" s="99"/>
      <c r="O307" s="99"/>
      <c r="P307" s="191"/>
      <c r="Q307" s="218"/>
      <c r="R307" s="218"/>
    </row>
    <row r="308" spans="1:18" ht="12.75" hidden="1" outlineLevel="1" x14ac:dyDescent="0.2">
      <c r="A308" s="185"/>
      <c r="B308" s="191" t="s">
        <v>456</v>
      </c>
      <c r="C308" s="185"/>
      <c r="D308" s="185"/>
      <c r="E308" s="296"/>
      <c r="F308" s="297"/>
      <c r="G308" s="261"/>
      <c r="H308" s="188"/>
      <c r="I308" s="188"/>
      <c r="J308" s="188"/>
      <c r="K308" s="188"/>
      <c r="L308" s="188"/>
      <c r="M308" s="188"/>
      <c r="N308" s="99"/>
      <c r="O308" s="99"/>
      <c r="P308" s="191"/>
      <c r="Q308" s="218"/>
      <c r="R308" s="218"/>
    </row>
    <row r="309" spans="1:18" ht="12.75" hidden="1" outlineLevel="1" x14ac:dyDescent="0.2">
      <c r="A309" s="185"/>
      <c r="B309" s="185"/>
      <c r="C309" s="191" t="s">
        <v>175</v>
      </c>
      <c r="D309" s="185"/>
      <c r="E309" s="296"/>
      <c r="F309" s="332">
        <f>F35</f>
        <v>5000</v>
      </c>
      <c r="G309" s="262">
        <f t="shared" ref="G309:G314" si="20">F309/F$314</f>
        <v>0.14732096819340296</v>
      </c>
      <c r="H309" s="188"/>
      <c r="I309" s="188"/>
      <c r="J309" s="188"/>
      <c r="K309" s="188"/>
      <c r="L309" s="188"/>
      <c r="M309" s="188"/>
      <c r="N309" s="99"/>
      <c r="O309" s="99"/>
      <c r="P309" s="191"/>
      <c r="Q309" s="262"/>
      <c r="R309" s="218"/>
    </row>
    <row r="310" spans="1:18" ht="12.75" hidden="1" outlineLevel="1" x14ac:dyDescent="0.2">
      <c r="A310" s="185"/>
      <c r="B310" s="185"/>
      <c r="C310" s="191" t="s">
        <v>242</v>
      </c>
      <c r="D310" s="185"/>
      <c r="E310" s="296"/>
      <c r="F310" s="332">
        <f>F32</f>
        <v>13500</v>
      </c>
      <c r="G310" s="262">
        <f t="shared" si="20"/>
        <v>0.397766614122188</v>
      </c>
      <c r="H310" s="188"/>
      <c r="I310" s="188"/>
      <c r="J310" s="188"/>
      <c r="K310" s="188"/>
      <c r="L310" s="188"/>
      <c r="M310" s="188"/>
      <c r="N310" s="99"/>
      <c r="O310" s="99"/>
      <c r="P310" s="191"/>
      <c r="Q310" s="262"/>
      <c r="R310" s="218"/>
    </row>
    <row r="311" spans="1:18" ht="12.75" hidden="1" outlineLevel="1" x14ac:dyDescent="0.2">
      <c r="A311" s="185"/>
      <c r="B311" s="185"/>
      <c r="C311" s="191" t="s">
        <v>1</v>
      </c>
      <c r="D311" s="185"/>
      <c r="E311" s="296"/>
      <c r="F311" s="332">
        <f>F36</f>
        <v>5500</v>
      </c>
      <c r="G311" s="262">
        <f t="shared" si="20"/>
        <v>0.16205306501274327</v>
      </c>
      <c r="H311" s="188"/>
      <c r="I311" s="188"/>
      <c r="J311" s="188"/>
      <c r="K311" s="188"/>
      <c r="L311" s="188"/>
      <c r="M311" s="188"/>
      <c r="N311" s="99"/>
      <c r="O311" s="99"/>
      <c r="P311" s="191"/>
      <c r="Q311" s="262"/>
      <c r="R311" s="218"/>
    </row>
    <row r="312" spans="1:18" ht="12.75" hidden="1" outlineLevel="1" x14ac:dyDescent="0.2">
      <c r="A312" s="185"/>
      <c r="B312" s="185"/>
      <c r="C312" s="191" t="s">
        <v>457</v>
      </c>
      <c r="D312" s="185"/>
      <c r="E312" s="296"/>
      <c r="F312" s="332">
        <f>F39-F127</f>
        <v>2100</v>
      </c>
      <c r="G312" s="262">
        <f t="shared" si="20"/>
        <v>6.1874806641229248E-2</v>
      </c>
      <c r="H312" s="188"/>
      <c r="I312" s="188"/>
      <c r="J312" s="188"/>
      <c r="K312" s="188"/>
      <c r="L312" s="188"/>
      <c r="M312" s="188"/>
      <c r="N312" s="99"/>
      <c r="O312" s="99"/>
      <c r="P312" s="191"/>
      <c r="Q312" s="262"/>
      <c r="R312" s="218"/>
    </row>
    <row r="313" spans="1:18" ht="12.75" hidden="1" outlineLevel="1" x14ac:dyDescent="0.2">
      <c r="A313" s="185"/>
      <c r="B313" s="185"/>
      <c r="C313" s="191" t="s">
        <v>458</v>
      </c>
      <c r="D313" s="185"/>
      <c r="E313" s="296"/>
      <c r="F313" s="332">
        <f>F188+F199+F211+F221</f>
        <v>7839.5</v>
      </c>
      <c r="G313" s="262">
        <f t="shared" si="20"/>
        <v>0.2309845460304365</v>
      </c>
      <c r="H313" s="188"/>
      <c r="I313" s="188"/>
      <c r="J313" s="188"/>
      <c r="K313" s="188"/>
      <c r="L313" s="188"/>
      <c r="M313" s="188"/>
      <c r="N313" s="99"/>
      <c r="O313" s="99"/>
      <c r="P313" s="191"/>
      <c r="Q313" s="262"/>
      <c r="R313" s="218"/>
    </row>
    <row r="314" spans="1:18" ht="13.5" hidden="1" outlineLevel="1" thickBot="1" x14ac:dyDescent="0.25">
      <c r="A314" s="185"/>
      <c r="B314" s="185" t="s">
        <v>459</v>
      </c>
      <c r="C314" s="185"/>
      <c r="D314" s="185"/>
      <c r="E314" s="296"/>
      <c r="F314" s="333">
        <f>SUM(F309:F313)</f>
        <v>33939.5</v>
      </c>
      <c r="G314" s="263">
        <f t="shared" si="20"/>
        <v>1</v>
      </c>
      <c r="H314" s="188"/>
      <c r="I314" s="188"/>
      <c r="J314" s="188"/>
      <c r="K314" s="188"/>
      <c r="L314" s="188"/>
      <c r="M314" s="188"/>
      <c r="N314" s="99"/>
      <c r="O314" s="99"/>
      <c r="P314" s="191"/>
      <c r="Q314" s="262"/>
      <c r="R314" s="218"/>
    </row>
    <row r="315" spans="1:18" ht="14.25" hidden="1" outlineLevel="1" thickTop="1" thickBot="1" x14ac:dyDescent="0.25">
      <c r="A315" s="185" t="s">
        <v>460</v>
      </c>
      <c r="C315" s="185"/>
      <c r="D315" s="185"/>
      <c r="E315" s="296"/>
      <c r="F315" s="333">
        <f>-(BaseSalary+(F85-E86))</f>
        <v>-25642</v>
      </c>
      <c r="G315" s="99"/>
      <c r="H315" s="188"/>
      <c r="I315" s="188"/>
      <c r="J315" s="188"/>
      <c r="K315" s="188"/>
      <c r="L315" s="188"/>
      <c r="M315" s="188"/>
      <c r="N315" s="99"/>
      <c r="O315" s="99"/>
      <c r="P315" s="191"/>
      <c r="Q315" s="262"/>
      <c r="R315" s="218"/>
    </row>
    <row r="316" spans="1:18" ht="14.25" hidden="1" outlineLevel="1" thickTop="1" thickBot="1" x14ac:dyDescent="0.25">
      <c r="A316" s="185" t="s">
        <v>461</v>
      </c>
      <c r="B316" s="264"/>
      <c r="C316" s="264"/>
      <c r="D316" s="264"/>
      <c r="E316" s="341"/>
      <c r="F316" s="333">
        <f>SUM(F158,F166)</f>
        <v>-6040.2666666666682</v>
      </c>
      <c r="G316" s="264"/>
      <c r="H316" s="188"/>
      <c r="I316" s="188"/>
      <c r="J316" s="188"/>
      <c r="K316" s="188"/>
      <c r="L316" s="188"/>
      <c r="M316" s="188"/>
      <c r="N316" s="99"/>
      <c r="O316" s="99"/>
      <c r="P316" s="191"/>
      <c r="Q316" s="262"/>
      <c r="R316" s="218"/>
    </row>
    <row r="317" spans="1:18" ht="14.25" hidden="1" outlineLevel="1" thickTop="1" thickBot="1" x14ac:dyDescent="0.25">
      <c r="A317" s="185" t="s">
        <v>462</v>
      </c>
      <c r="B317" s="264"/>
      <c r="C317" s="264"/>
      <c r="D317" s="264"/>
      <c r="E317" s="341"/>
      <c r="F317" s="333">
        <f>F314+F315+F316</f>
        <v>2257.2333333333318</v>
      </c>
      <c r="G317" s="264"/>
      <c r="H317" s="188"/>
      <c r="I317" s="188"/>
      <c r="J317" s="188"/>
      <c r="K317" s="188"/>
      <c r="L317" s="188"/>
      <c r="M317" s="188"/>
      <c r="N317" s="99"/>
      <c r="O317" s="99"/>
      <c r="P317" s="191"/>
      <c r="Q317" s="262"/>
      <c r="R317" s="218"/>
    </row>
    <row r="318" spans="1:18" ht="13.5" hidden="1" outlineLevel="1" thickTop="1" x14ac:dyDescent="0.2">
      <c r="A318" s="264"/>
      <c r="B318" s="264"/>
      <c r="C318" s="264"/>
      <c r="D318" s="264"/>
      <c r="E318" s="341"/>
      <c r="F318" s="341"/>
      <c r="G318" s="264"/>
      <c r="H318" s="188"/>
      <c r="I318" s="188"/>
      <c r="J318" s="188"/>
      <c r="K318" s="188"/>
      <c r="L318" s="188"/>
      <c r="M318" s="188"/>
      <c r="N318" s="99"/>
      <c r="O318" s="99"/>
      <c r="P318" s="191"/>
      <c r="Q318" s="262"/>
      <c r="R318" s="218"/>
    </row>
    <row r="319" spans="1:18" ht="12.75" hidden="1" outlineLevel="1" x14ac:dyDescent="0.2">
      <c r="A319" s="265" t="str">
        <f>CONCATENATE("Therefore, if virtually all unsecured grant revenue disappears, our programs and core management &amp; administration expenses would still be fully funded with a $",MROUND(F317,1)," (",MROUND((F317/F314)*100,1),"%) surplus.")</f>
        <v>Therefore, if virtually all unsecured grant revenue disappears, our programs and core management &amp; administration expenses would still be fully funded with a $2257 (7%) surplus.</v>
      </c>
      <c r="B319" s="168"/>
      <c r="C319" s="168"/>
      <c r="D319" s="168"/>
      <c r="E319" s="168"/>
      <c r="F319" s="168"/>
      <c r="G319" s="168"/>
      <c r="H319" s="188"/>
      <c r="I319" s="188"/>
      <c r="J319" s="188"/>
      <c r="K319" s="188"/>
      <c r="L319" s="188"/>
      <c r="M319" s="188"/>
      <c r="N319" s="99"/>
      <c r="O319" s="99"/>
      <c r="P319" s="191"/>
      <c r="Q319" s="262"/>
      <c r="R319" s="218"/>
    </row>
    <row r="320" spans="1:18" ht="12.75" hidden="1" outlineLevel="1" x14ac:dyDescent="0.2">
      <c r="A320" s="168"/>
      <c r="B320" s="168"/>
      <c r="C320" s="168"/>
      <c r="D320" s="168"/>
      <c r="E320" s="168"/>
      <c r="F320" s="168"/>
      <c r="G320" s="168"/>
      <c r="H320" s="188"/>
      <c r="I320" s="188"/>
      <c r="J320" s="188"/>
      <c r="K320" s="188"/>
      <c r="L320" s="188"/>
      <c r="M320" s="188"/>
      <c r="N320" s="99"/>
      <c r="O320" s="99"/>
      <c r="P320" s="191"/>
      <c r="Q320" s="218"/>
      <c r="R320" s="218"/>
    </row>
    <row r="321" spans="1:18" ht="12.75" hidden="1" outlineLevel="1" x14ac:dyDescent="0.2">
      <c r="A321" s="168"/>
      <c r="B321" s="168"/>
      <c r="C321" s="168"/>
      <c r="D321" s="168"/>
      <c r="E321" s="168"/>
      <c r="F321" s="168"/>
      <c r="G321" s="168"/>
      <c r="H321" s="188"/>
      <c r="I321" s="188"/>
      <c r="J321" s="188"/>
      <c r="K321" s="188"/>
      <c r="L321" s="188"/>
      <c r="M321" s="188"/>
      <c r="N321" s="99"/>
      <c r="O321" s="99"/>
      <c r="P321" s="191"/>
      <c r="Q321" s="218"/>
      <c r="R321" s="218"/>
    </row>
    <row r="322" spans="1:18" ht="12.75" hidden="1" outlineLevel="1" x14ac:dyDescent="0.2">
      <c r="A322" s="185"/>
      <c r="B322" s="185"/>
      <c r="C322" s="185"/>
      <c r="D322" s="185"/>
      <c r="E322" s="296"/>
      <c r="F322" s="297"/>
      <c r="G322" s="188"/>
      <c r="H322" s="188"/>
      <c r="I322" s="188"/>
      <c r="J322" s="188"/>
      <c r="K322" s="188"/>
      <c r="L322" s="188"/>
      <c r="M322" s="188"/>
      <c r="N322" s="99"/>
      <c r="O322" s="99"/>
      <c r="P322" s="191"/>
      <c r="Q322" s="218"/>
      <c r="R322" s="218"/>
    </row>
    <row r="323" spans="1:18" ht="12.75" hidden="1" outlineLevel="1" x14ac:dyDescent="0.2">
      <c r="A323" s="185"/>
      <c r="B323" s="185"/>
      <c r="C323" s="185"/>
      <c r="D323" s="185"/>
      <c r="E323" s="296"/>
      <c r="F323" s="297"/>
      <c r="G323" s="188"/>
      <c r="H323" s="188"/>
      <c r="I323" s="188"/>
      <c r="J323" s="188"/>
      <c r="K323" s="188"/>
      <c r="L323" s="188"/>
      <c r="M323" s="188"/>
      <c r="N323" s="99"/>
      <c r="O323" s="99"/>
      <c r="P323" s="191"/>
      <c r="Q323" s="218"/>
      <c r="R323" s="218"/>
    </row>
    <row r="324" spans="1:18" ht="12.75" collapsed="1" x14ac:dyDescent="0.2">
      <c r="A324" s="185" t="s">
        <v>463</v>
      </c>
      <c r="B324" s="185"/>
      <c r="C324" s="185"/>
      <c r="D324" s="185"/>
      <c r="E324" s="296"/>
      <c r="F324" s="297"/>
      <c r="G324" s="188"/>
      <c r="H324" s="188"/>
      <c r="I324" s="188"/>
      <c r="J324" s="188"/>
      <c r="K324" s="188"/>
      <c r="L324" s="188"/>
      <c r="M324" s="188"/>
      <c r="N324" s="99"/>
      <c r="O324" s="99"/>
      <c r="P324" s="191"/>
      <c r="Q324" s="218"/>
      <c r="R324" s="218"/>
    </row>
    <row r="325" spans="1:18" ht="12.75" hidden="1" outlineLevel="1" x14ac:dyDescent="0.2">
      <c r="A325" s="191" t="s">
        <v>464</v>
      </c>
      <c r="B325" s="185"/>
      <c r="C325" s="185"/>
      <c r="D325" s="185"/>
      <c r="E325" s="296"/>
      <c r="F325" s="297"/>
      <c r="G325" s="188"/>
      <c r="H325" s="188"/>
      <c r="I325" s="188"/>
      <c r="J325" s="188"/>
      <c r="K325" s="188"/>
      <c r="L325" s="188"/>
      <c r="M325" s="188"/>
      <c r="N325" s="99"/>
      <c r="O325" s="99"/>
      <c r="P325" s="191"/>
      <c r="Q325" s="218"/>
      <c r="R325" s="218"/>
    </row>
    <row r="326" spans="1:18" ht="12.75" hidden="1" outlineLevel="1" x14ac:dyDescent="0.2">
      <c r="A326" s="191" t="s">
        <v>465</v>
      </c>
      <c r="B326" s="185"/>
      <c r="C326" s="185"/>
      <c r="D326" s="185"/>
      <c r="E326" s="296"/>
      <c r="F326" s="297"/>
      <c r="G326" s="188"/>
      <c r="H326" s="188"/>
      <c r="I326" s="188"/>
      <c r="J326" s="188"/>
      <c r="K326" s="188"/>
      <c r="L326" s="188"/>
      <c r="M326" s="188"/>
      <c r="N326" s="99"/>
      <c r="O326" s="99"/>
      <c r="P326" s="191"/>
      <c r="Q326" s="218"/>
      <c r="R326" s="218"/>
    </row>
    <row r="327" spans="1:18" ht="12.75" hidden="1" outlineLevel="1" x14ac:dyDescent="0.2">
      <c r="A327" s="191"/>
      <c r="B327" s="185"/>
      <c r="C327" s="185"/>
      <c r="D327" s="185"/>
      <c r="E327" s="296"/>
      <c r="F327" s="297"/>
      <c r="G327" s="188"/>
      <c r="H327" s="188"/>
      <c r="I327" s="188"/>
      <c r="J327" s="188"/>
      <c r="K327" s="188"/>
      <c r="L327" s="188"/>
      <c r="M327" s="188"/>
      <c r="N327" s="99"/>
      <c r="O327" s="99"/>
      <c r="P327" s="191"/>
      <c r="Q327" s="218"/>
      <c r="R327" s="218"/>
    </row>
    <row r="328" spans="1:18" ht="12.75" hidden="1" outlineLevel="1" x14ac:dyDescent="0.2">
      <c r="A328" s="191"/>
      <c r="B328" s="185"/>
      <c r="C328" s="185"/>
      <c r="D328" s="185"/>
      <c r="E328" s="296"/>
      <c r="F328" s="297"/>
      <c r="G328" s="188"/>
      <c r="H328" s="188"/>
      <c r="I328" s="188"/>
      <c r="J328" s="188"/>
      <c r="K328" s="188"/>
      <c r="L328" s="188"/>
      <c r="M328" s="188"/>
      <c r="N328" s="99"/>
      <c r="O328" s="99"/>
      <c r="P328" s="191"/>
      <c r="Q328" s="218"/>
      <c r="R328" s="218"/>
    </row>
    <row r="329" spans="1:18" ht="12.75" collapsed="1" x14ac:dyDescent="0.2">
      <c r="A329" s="185" t="s">
        <v>466</v>
      </c>
      <c r="B329" s="185"/>
      <c r="C329" s="185"/>
      <c r="D329" s="185"/>
      <c r="E329" s="296"/>
      <c r="F329" s="321"/>
      <c r="G329" s="188"/>
      <c r="H329" s="188"/>
      <c r="I329" s="188"/>
      <c r="J329" s="188"/>
      <c r="K329" s="188"/>
      <c r="L329" s="188"/>
      <c r="M329" s="188"/>
      <c r="N329" s="99"/>
      <c r="O329" s="99"/>
      <c r="P329" s="191"/>
      <c r="Q329" s="218"/>
      <c r="R329" s="218"/>
    </row>
    <row r="330" spans="1:18" ht="12.75" hidden="1" outlineLevel="1" x14ac:dyDescent="0.2">
      <c r="A330" s="185"/>
      <c r="B330" s="185" t="s">
        <v>6</v>
      </c>
      <c r="C330" s="185" t="s">
        <v>35</v>
      </c>
      <c r="D330" s="185" t="s">
        <v>467</v>
      </c>
      <c r="E330" s="296"/>
      <c r="F330" s="321" t="s">
        <v>468</v>
      </c>
      <c r="G330" s="188"/>
      <c r="H330" s="188"/>
      <c r="I330" s="188"/>
      <c r="J330" s="188"/>
      <c r="K330" s="188"/>
      <c r="L330" s="188"/>
      <c r="M330" s="188"/>
      <c r="N330" s="99"/>
      <c r="O330" s="99"/>
      <c r="P330" s="191"/>
      <c r="Q330" s="218"/>
      <c r="R330" s="218"/>
    </row>
    <row r="331" spans="1:18" ht="12.75" hidden="1" outlineLevel="1" x14ac:dyDescent="0.2">
      <c r="A331" s="185">
        <v>2015</v>
      </c>
      <c r="B331" s="187">
        <f>M59</f>
        <v>29795</v>
      </c>
      <c r="C331" s="187">
        <f>M132</f>
        <v>32419</v>
      </c>
      <c r="D331" s="187">
        <f t="shared" ref="D331:D338" si="21">B331-C331</f>
        <v>-2624</v>
      </c>
      <c r="E331" s="296"/>
      <c r="F331" s="297">
        <f t="shared" ref="F331:F337" si="22">B341-C341</f>
        <v>19747</v>
      </c>
      <c r="G331" s="188"/>
      <c r="H331" s="188"/>
      <c r="I331" s="188"/>
      <c r="J331" s="188"/>
      <c r="K331" s="188"/>
      <c r="L331" s="188"/>
      <c r="M331" s="188"/>
      <c r="N331" s="99"/>
      <c r="O331" s="99"/>
      <c r="P331" s="191"/>
      <c r="Q331" s="218"/>
      <c r="R331" s="218"/>
    </row>
    <row r="332" spans="1:18" ht="12.75" hidden="1" outlineLevel="1" x14ac:dyDescent="0.2">
      <c r="A332" s="185">
        <v>2016</v>
      </c>
      <c r="B332" s="187">
        <f>L59</f>
        <v>25444</v>
      </c>
      <c r="C332" s="187">
        <f>L132</f>
        <v>29003</v>
      </c>
      <c r="D332" s="187">
        <f t="shared" si="21"/>
        <v>-3559</v>
      </c>
      <c r="E332" s="296"/>
      <c r="F332" s="297">
        <f t="shared" si="22"/>
        <v>16188</v>
      </c>
      <c r="G332" s="188"/>
      <c r="H332" s="188"/>
      <c r="I332" s="188"/>
      <c r="J332" s="188"/>
      <c r="K332" s="188"/>
      <c r="L332" s="188"/>
      <c r="M332" s="188"/>
      <c r="N332" s="99"/>
      <c r="O332" s="99"/>
      <c r="P332" s="191"/>
      <c r="Q332" s="218"/>
      <c r="R332" s="218"/>
    </row>
    <row r="333" spans="1:18" ht="12.75" hidden="1" outlineLevel="1" x14ac:dyDescent="0.2">
      <c r="A333" s="185">
        <v>2017</v>
      </c>
      <c r="B333" s="187">
        <f>K59</f>
        <v>38071</v>
      </c>
      <c r="C333" s="187">
        <f>K132</f>
        <v>32815</v>
      </c>
      <c r="D333" s="187">
        <f t="shared" si="21"/>
        <v>5256</v>
      </c>
      <c r="E333" s="296"/>
      <c r="F333" s="297">
        <f t="shared" si="22"/>
        <v>14495</v>
      </c>
      <c r="G333" s="188"/>
      <c r="H333" s="188"/>
      <c r="I333" s="188"/>
      <c r="J333" s="188"/>
      <c r="K333" s="188"/>
      <c r="L333" s="188"/>
      <c r="M333" s="188"/>
      <c r="N333" s="99"/>
      <c r="O333" s="99"/>
      <c r="P333" s="191"/>
      <c r="Q333" s="218"/>
      <c r="R333" s="218"/>
    </row>
    <row r="334" spans="1:18" ht="12.75" hidden="1" outlineLevel="1" x14ac:dyDescent="0.2">
      <c r="A334" s="185">
        <v>2018</v>
      </c>
      <c r="B334" s="187">
        <f>J59</f>
        <v>37379</v>
      </c>
      <c r="C334" s="187">
        <f>J132</f>
        <v>35605</v>
      </c>
      <c r="D334" s="187">
        <f t="shared" si="21"/>
        <v>1774</v>
      </c>
      <c r="E334" s="296"/>
      <c r="F334" s="297">
        <f t="shared" si="22"/>
        <v>16269</v>
      </c>
      <c r="G334" s="188"/>
      <c r="H334" s="188"/>
      <c r="I334" s="188"/>
      <c r="J334" s="188"/>
      <c r="K334" s="188"/>
      <c r="L334" s="188"/>
      <c r="M334" s="188"/>
      <c r="N334" s="99"/>
      <c r="O334" s="99"/>
      <c r="P334" s="191"/>
      <c r="Q334" s="218"/>
      <c r="R334" s="218"/>
    </row>
    <row r="335" spans="1:18" ht="12.75" hidden="1" outlineLevel="1" x14ac:dyDescent="0.2">
      <c r="A335" s="185">
        <v>2019</v>
      </c>
      <c r="B335" s="187">
        <f>I59</f>
        <v>43001</v>
      </c>
      <c r="C335" s="187">
        <f>I132</f>
        <v>46542</v>
      </c>
      <c r="D335" s="187">
        <f t="shared" si="21"/>
        <v>-3541</v>
      </c>
      <c r="E335" s="296"/>
      <c r="F335" s="297">
        <f t="shared" si="22"/>
        <v>13237</v>
      </c>
      <c r="G335" s="188"/>
      <c r="H335" s="188"/>
      <c r="I335" s="188"/>
      <c r="J335" s="188"/>
      <c r="K335" s="188"/>
      <c r="L335" s="188"/>
      <c r="M335" s="188"/>
      <c r="N335" s="99"/>
      <c r="O335" s="99"/>
      <c r="P335" s="191"/>
      <c r="Q335" s="218"/>
      <c r="R335" s="218"/>
    </row>
    <row r="336" spans="1:18" ht="12.75" hidden="1" outlineLevel="1" x14ac:dyDescent="0.2">
      <c r="A336" s="185">
        <v>2020</v>
      </c>
      <c r="B336" s="187">
        <f>H59</f>
        <v>77446</v>
      </c>
      <c r="C336" s="187">
        <f>H132</f>
        <v>81402</v>
      </c>
      <c r="D336" s="187">
        <f t="shared" si="21"/>
        <v>-3956</v>
      </c>
      <c r="E336" s="296"/>
      <c r="F336" s="297">
        <f t="shared" si="22"/>
        <v>4453</v>
      </c>
      <c r="G336" s="188"/>
      <c r="H336" s="188"/>
      <c r="I336" s="188"/>
      <c r="J336" s="188"/>
      <c r="K336" s="188"/>
      <c r="L336" s="188"/>
      <c r="M336" s="188"/>
      <c r="N336" s="99"/>
      <c r="O336" s="99"/>
      <c r="P336" s="191"/>
      <c r="Q336" s="218"/>
      <c r="R336" s="218"/>
    </row>
    <row r="337" spans="1:18" ht="12.75" hidden="1" outlineLevel="1" x14ac:dyDescent="0.2">
      <c r="A337" s="185">
        <v>2021</v>
      </c>
      <c r="B337" s="187">
        <f>G59</f>
        <v>110533</v>
      </c>
      <c r="C337" s="187">
        <f>G132</f>
        <v>74196.12</v>
      </c>
      <c r="D337" s="187">
        <f t="shared" si="21"/>
        <v>36336.880000000005</v>
      </c>
      <c r="E337" s="296"/>
      <c r="F337" s="297">
        <f t="shared" si="22"/>
        <v>42339</v>
      </c>
      <c r="G337" s="188"/>
      <c r="H337" s="188"/>
      <c r="I337" s="188"/>
      <c r="J337" s="188"/>
      <c r="K337" s="188"/>
      <c r="L337" s="188"/>
      <c r="M337" s="188"/>
      <c r="N337" s="99"/>
      <c r="O337" s="99"/>
      <c r="P337" s="191"/>
      <c r="Q337" s="218"/>
      <c r="R337" s="218"/>
    </row>
    <row r="338" spans="1:18" ht="12.75" hidden="1" outlineLevel="1" x14ac:dyDescent="0.2">
      <c r="A338" s="185" t="s">
        <v>469</v>
      </c>
      <c r="B338" s="187">
        <f>F59</f>
        <v>121000</v>
      </c>
      <c r="C338" s="187">
        <f>F132</f>
        <v>118900</v>
      </c>
      <c r="D338" s="187">
        <f t="shared" si="21"/>
        <v>2100</v>
      </c>
      <c r="E338" s="296"/>
      <c r="G338" s="188"/>
      <c r="H338" s="188"/>
      <c r="I338" s="188"/>
      <c r="J338" s="188"/>
      <c r="K338" s="188"/>
      <c r="L338" s="188"/>
      <c r="M338" s="188"/>
      <c r="N338" s="99"/>
      <c r="O338" s="99"/>
      <c r="P338" s="191"/>
      <c r="Q338" s="218"/>
      <c r="R338" s="218"/>
    </row>
    <row r="339" spans="1:18" ht="12.75" hidden="1" outlineLevel="1" x14ac:dyDescent="0.2">
      <c r="A339" s="185"/>
      <c r="B339" s="185"/>
      <c r="C339" s="185"/>
      <c r="D339" s="185"/>
      <c r="E339" s="296"/>
      <c r="F339" s="311"/>
      <c r="G339" s="188"/>
      <c r="H339" s="188"/>
      <c r="I339" s="188"/>
      <c r="J339" s="188"/>
      <c r="K339" s="188"/>
      <c r="L339" s="188"/>
      <c r="M339" s="188"/>
      <c r="N339" s="99"/>
      <c r="O339" s="99"/>
      <c r="P339" s="191"/>
      <c r="Q339" s="218"/>
      <c r="R339" s="218"/>
    </row>
    <row r="340" spans="1:18" ht="12.75" hidden="1" outlineLevel="1" x14ac:dyDescent="0.2">
      <c r="A340" s="185"/>
      <c r="B340" s="185" t="s">
        <v>470</v>
      </c>
      <c r="C340" s="185" t="s">
        <v>471</v>
      </c>
      <c r="D340" s="245"/>
      <c r="E340" s="296"/>
      <c r="F340" s="334" t="s">
        <v>472</v>
      </c>
      <c r="G340" s="266" t="s">
        <v>473</v>
      </c>
      <c r="H340" s="188"/>
      <c r="I340" s="188"/>
      <c r="J340" s="188"/>
      <c r="K340" s="188"/>
      <c r="L340" s="188"/>
      <c r="M340" s="188"/>
      <c r="N340" s="99"/>
      <c r="O340" s="99"/>
      <c r="P340" s="191"/>
      <c r="Q340" s="218"/>
      <c r="R340" s="218"/>
    </row>
    <row r="341" spans="1:18" ht="12.75" hidden="1" outlineLevel="1" x14ac:dyDescent="0.2">
      <c r="A341" s="185">
        <v>2015</v>
      </c>
      <c r="B341" s="187">
        <v>21235</v>
      </c>
      <c r="C341" s="187">
        <v>1488</v>
      </c>
      <c r="E341" s="321">
        <v>2015</v>
      </c>
      <c r="F341" s="342">
        <f>694+450+250+606+8313</f>
        <v>10313</v>
      </c>
      <c r="G341" s="267">
        <f>M31</f>
        <v>2388</v>
      </c>
      <c r="H341" s="188"/>
      <c r="I341" s="188"/>
      <c r="J341" s="188"/>
      <c r="K341" s="188"/>
      <c r="L341" s="188"/>
      <c r="M341" s="188"/>
      <c r="N341" s="99"/>
      <c r="O341" s="99"/>
      <c r="P341" s="191"/>
      <c r="Q341" s="218"/>
      <c r="R341" s="218"/>
    </row>
    <row r="342" spans="1:18" ht="12.75" hidden="1" outlineLevel="1" x14ac:dyDescent="0.2">
      <c r="A342" s="185">
        <v>2016</v>
      </c>
      <c r="B342" s="187">
        <v>21002</v>
      </c>
      <c r="C342" s="187">
        <v>4814</v>
      </c>
      <c r="E342" s="321">
        <v>2016</v>
      </c>
      <c r="F342" s="342">
        <f>653+458+413+335+11029</f>
        <v>12888</v>
      </c>
      <c r="G342" s="267">
        <f>L31</f>
        <v>3989</v>
      </c>
      <c r="H342" s="188"/>
      <c r="I342" s="188"/>
      <c r="J342" s="188"/>
      <c r="K342" s="188"/>
      <c r="L342" s="188"/>
      <c r="M342" s="188"/>
      <c r="N342" s="99"/>
      <c r="O342" s="99"/>
      <c r="P342" s="191"/>
      <c r="Q342" s="218"/>
      <c r="R342" s="218"/>
    </row>
    <row r="343" spans="1:18" ht="12.75" hidden="1" outlineLevel="1" x14ac:dyDescent="0.2">
      <c r="A343" s="185">
        <v>2017</v>
      </c>
      <c r="B343" s="187">
        <v>17293</v>
      </c>
      <c r="C343" s="187">
        <v>2798</v>
      </c>
      <c r="E343" s="321">
        <v>2017</v>
      </c>
      <c r="F343" s="342">
        <f>341+712+564+1217+11005</f>
        <v>13839</v>
      </c>
      <c r="G343" s="267">
        <f>K31</f>
        <v>5984</v>
      </c>
      <c r="H343" s="188"/>
      <c r="I343" s="188"/>
      <c r="J343" s="188"/>
      <c r="K343" s="188"/>
      <c r="L343" s="188"/>
      <c r="M343" s="188"/>
      <c r="N343" s="99"/>
      <c r="O343" s="99"/>
      <c r="P343" s="191"/>
      <c r="Q343" s="218"/>
      <c r="R343" s="218"/>
    </row>
    <row r="344" spans="1:18" ht="12.75" hidden="1" outlineLevel="1" x14ac:dyDescent="0.2">
      <c r="A344" s="185">
        <v>2018</v>
      </c>
      <c r="B344" s="187">
        <v>18732</v>
      </c>
      <c r="C344" s="187">
        <v>2463</v>
      </c>
      <c r="E344" s="321">
        <v>2018</v>
      </c>
      <c r="F344" s="342">
        <f>346+1862+12059</f>
        <v>14267</v>
      </c>
      <c r="G344" s="267">
        <f>J31</f>
        <v>11240</v>
      </c>
      <c r="H344" s="188"/>
      <c r="I344" s="188"/>
      <c r="J344" s="188"/>
      <c r="K344" s="188"/>
      <c r="L344" s="188"/>
      <c r="M344" s="188"/>
      <c r="N344" s="99"/>
      <c r="O344" s="99"/>
      <c r="P344" s="191"/>
      <c r="Q344" s="218"/>
      <c r="R344" s="218"/>
    </row>
    <row r="345" spans="1:18" ht="12.75" hidden="1" outlineLevel="1" x14ac:dyDescent="0.2">
      <c r="A345" s="185">
        <v>2019</v>
      </c>
      <c r="B345" s="187">
        <v>27702</v>
      </c>
      <c r="C345" s="187">
        <v>14465</v>
      </c>
      <c r="E345" s="321">
        <v>2019</v>
      </c>
      <c r="F345" s="342">
        <f>1065+567+2046+357+16578+1500</f>
        <v>22113</v>
      </c>
      <c r="G345" s="267">
        <f>I31</f>
        <v>8077</v>
      </c>
      <c r="H345" s="188"/>
      <c r="I345" s="188"/>
      <c r="J345" s="188"/>
      <c r="K345" s="188"/>
      <c r="L345" s="188"/>
      <c r="M345" s="188"/>
      <c r="N345" s="99"/>
      <c r="O345" s="99"/>
      <c r="P345" s="191"/>
      <c r="Q345" s="218"/>
      <c r="R345" s="218"/>
    </row>
    <row r="346" spans="1:18" ht="12.75" hidden="1" outlineLevel="1" x14ac:dyDescent="0.2">
      <c r="A346" s="185">
        <v>2020</v>
      </c>
      <c r="B346" s="187">
        <v>37312</v>
      </c>
      <c r="C346" s="187">
        <v>32859</v>
      </c>
      <c r="E346" s="321">
        <v>2020</v>
      </c>
      <c r="F346" s="342">
        <f>200+334+2621+587+15798+2692+5797+3160+2470+1446</f>
        <v>35105</v>
      </c>
      <c r="G346" s="267">
        <f>H31</f>
        <v>12163</v>
      </c>
      <c r="H346" s="188"/>
      <c r="I346" s="188"/>
      <c r="J346" s="188"/>
      <c r="K346" s="188"/>
      <c r="L346" s="188"/>
      <c r="M346" s="188"/>
      <c r="N346" s="99"/>
      <c r="O346" s="99"/>
      <c r="P346" s="191"/>
      <c r="Q346" s="218"/>
      <c r="R346" s="218"/>
    </row>
    <row r="347" spans="1:18" ht="12.75" hidden="1" outlineLevel="1" x14ac:dyDescent="0.2">
      <c r="A347" s="185">
        <v>2021</v>
      </c>
      <c r="B347" s="187">
        <v>50630</v>
      </c>
      <c r="C347" s="187">
        <v>8291</v>
      </c>
      <c r="E347" s="343">
        <v>2021</v>
      </c>
      <c r="F347" s="342">
        <f>150+260+3924+906+19949+1032+595+351+636+2057</f>
        <v>29860</v>
      </c>
      <c r="G347" s="267">
        <f>G31</f>
        <v>17445</v>
      </c>
      <c r="H347" s="188"/>
      <c r="I347" s="188"/>
      <c r="J347" s="188"/>
      <c r="K347" s="188"/>
      <c r="L347" s="188"/>
      <c r="M347" s="188"/>
      <c r="N347" s="99"/>
      <c r="O347" s="99"/>
      <c r="P347" s="191"/>
      <c r="Q347" s="218"/>
      <c r="R347" s="218"/>
    </row>
    <row r="348" spans="1:18" ht="12.75" hidden="1" outlineLevel="1" x14ac:dyDescent="0.2">
      <c r="A348" s="185"/>
      <c r="B348" s="185"/>
      <c r="C348" s="185"/>
      <c r="E348" s="321">
        <v>2022</v>
      </c>
      <c r="F348" s="311">
        <f>BaseSalary+(F85-E86)</f>
        <v>25642</v>
      </c>
      <c r="G348" s="215">
        <f>F32+F35</f>
        <v>18500</v>
      </c>
      <c r="H348" s="188"/>
      <c r="I348" s="188"/>
      <c r="J348" s="188"/>
      <c r="K348" s="188"/>
      <c r="L348" s="188"/>
      <c r="M348" s="188"/>
      <c r="N348" s="99"/>
      <c r="O348" s="99"/>
      <c r="P348" s="191"/>
      <c r="Q348" s="218"/>
      <c r="R348" s="218"/>
    </row>
    <row r="349" spans="1:18" ht="12.75" hidden="1" outlineLevel="1" x14ac:dyDescent="0.2">
      <c r="A349" s="185"/>
      <c r="B349" s="185"/>
      <c r="C349" s="185"/>
      <c r="E349" s="321">
        <v>2023</v>
      </c>
      <c r="F349" s="311"/>
      <c r="G349" s="188"/>
      <c r="H349" s="188"/>
      <c r="I349" s="188"/>
      <c r="J349" s="188"/>
      <c r="K349" s="188"/>
      <c r="L349" s="188"/>
      <c r="M349" s="188"/>
      <c r="N349" s="99"/>
      <c r="O349" s="99"/>
      <c r="P349" s="191"/>
      <c r="Q349" s="218"/>
      <c r="R349" s="218"/>
    </row>
    <row r="350" spans="1:18" ht="12.75" hidden="1" outlineLevel="1" x14ac:dyDescent="0.2">
      <c r="A350" s="185"/>
      <c r="B350" s="185"/>
      <c r="C350" s="185"/>
      <c r="E350" s="321">
        <v>2024</v>
      </c>
      <c r="F350" s="311"/>
      <c r="G350" s="188"/>
      <c r="H350" s="188"/>
      <c r="I350" s="188"/>
      <c r="J350" s="188"/>
      <c r="K350" s="188"/>
      <c r="L350" s="188"/>
      <c r="M350" s="188"/>
      <c r="N350" s="99"/>
      <c r="O350" s="99"/>
      <c r="P350" s="191"/>
      <c r="Q350" s="218"/>
      <c r="R350" s="218"/>
    </row>
    <row r="351" spans="1:18" ht="12.75" hidden="1" outlineLevel="1" x14ac:dyDescent="0.2">
      <c r="A351" s="185"/>
      <c r="B351" s="185"/>
      <c r="C351" s="185"/>
      <c r="E351" s="321">
        <v>2025</v>
      </c>
      <c r="F351" s="311"/>
      <c r="G351" s="188"/>
      <c r="H351" s="188"/>
      <c r="I351" s="188"/>
      <c r="J351" s="188"/>
      <c r="K351" s="188"/>
      <c r="L351" s="188"/>
      <c r="M351" s="188"/>
      <c r="N351" s="99"/>
      <c r="O351" s="99"/>
      <c r="P351" s="191"/>
      <c r="Q351" s="218"/>
      <c r="R351" s="218"/>
    </row>
    <row r="352" spans="1:18" ht="12.75" hidden="1" outlineLevel="1" x14ac:dyDescent="0.2">
      <c r="A352" s="185"/>
      <c r="B352" s="185"/>
      <c r="C352" s="185"/>
      <c r="D352" s="186"/>
      <c r="F352" s="311"/>
      <c r="G352" s="188"/>
      <c r="H352" s="188"/>
      <c r="I352" s="188"/>
      <c r="J352" s="188"/>
      <c r="K352" s="188"/>
      <c r="L352" s="188"/>
      <c r="M352" s="188"/>
      <c r="N352" s="99"/>
      <c r="O352" s="99"/>
      <c r="P352" s="191"/>
      <c r="Q352" s="218"/>
      <c r="R352" s="218"/>
    </row>
    <row r="353" spans="1:18" ht="12.75" hidden="1" outlineLevel="1" x14ac:dyDescent="0.2">
      <c r="A353" s="185"/>
      <c r="B353" s="185"/>
      <c r="C353" s="185"/>
      <c r="D353" s="185"/>
      <c r="E353" s="296"/>
      <c r="F353" s="311"/>
      <c r="G353" s="188"/>
      <c r="H353" s="188"/>
      <c r="I353" s="188"/>
      <c r="J353" s="188"/>
      <c r="K353" s="188"/>
      <c r="L353" s="188"/>
      <c r="M353" s="188"/>
      <c r="N353" s="99"/>
      <c r="O353" s="99"/>
      <c r="P353" s="191"/>
      <c r="Q353" s="218"/>
      <c r="R353" s="218"/>
    </row>
    <row r="354" spans="1:18" ht="12.75" hidden="1" outlineLevel="1" x14ac:dyDescent="0.2">
      <c r="A354" s="185"/>
      <c r="B354" s="185"/>
      <c r="C354" s="185"/>
      <c r="D354" s="185"/>
      <c r="E354" s="296"/>
      <c r="F354" s="311"/>
      <c r="G354" s="188"/>
      <c r="H354" s="188"/>
      <c r="I354" s="188"/>
      <c r="J354" s="188"/>
      <c r="K354" s="188"/>
      <c r="L354" s="188"/>
      <c r="M354" s="188"/>
      <c r="N354" s="99"/>
      <c r="O354" s="99"/>
      <c r="P354" s="191"/>
      <c r="Q354" s="218"/>
      <c r="R354" s="218"/>
    </row>
    <row r="355" spans="1:18" ht="12.75" hidden="1" outlineLevel="1" x14ac:dyDescent="0.2">
      <c r="A355" s="185"/>
      <c r="B355" s="185"/>
      <c r="C355" s="185"/>
      <c r="D355" s="185"/>
      <c r="E355" s="296"/>
      <c r="F355" s="311"/>
      <c r="G355" s="188"/>
      <c r="H355" s="188"/>
      <c r="I355" s="188"/>
      <c r="J355" s="188"/>
      <c r="K355" s="188"/>
      <c r="L355" s="188"/>
      <c r="M355" s="188"/>
      <c r="N355" s="99"/>
      <c r="O355" s="99"/>
      <c r="P355" s="191"/>
      <c r="Q355" s="218"/>
      <c r="R355" s="218"/>
    </row>
    <row r="356" spans="1:18" ht="12.75" hidden="1" outlineLevel="1" x14ac:dyDescent="0.2">
      <c r="A356" s="185"/>
      <c r="B356" s="185"/>
      <c r="C356" s="185"/>
      <c r="D356" s="185"/>
      <c r="E356" s="296"/>
      <c r="F356" s="311"/>
      <c r="G356" s="188"/>
      <c r="H356" s="188"/>
      <c r="I356" s="188"/>
      <c r="J356" s="188"/>
      <c r="K356" s="188"/>
      <c r="L356" s="188"/>
      <c r="M356" s="188"/>
      <c r="N356" s="99"/>
      <c r="O356" s="99"/>
      <c r="P356" s="191"/>
      <c r="Q356" s="218"/>
      <c r="R356" s="218"/>
    </row>
    <row r="357" spans="1:18" ht="12.75" hidden="1" outlineLevel="1" x14ac:dyDescent="0.2">
      <c r="A357" s="185"/>
      <c r="B357" s="185"/>
      <c r="C357" s="185"/>
      <c r="D357" s="185"/>
      <c r="E357" s="296"/>
      <c r="F357" s="311"/>
      <c r="G357" s="188"/>
      <c r="H357" s="188"/>
      <c r="I357" s="188"/>
      <c r="J357" s="188"/>
      <c r="K357" s="188"/>
      <c r="L357" s="188"/>
      <c r="M357" s="188"/>
      <c r="N357" s="99"/>
      <c r="O357" s="99"/>
      <c r="P357" s="191"/>
      <c r="Q357" s="218"/>
      <c r="R357" s="218"/>
    </row>
    <row r="358" spans="1:18" ht="12.75" hidden="1" outlineLevel="1" x14ac:dyDescent="0.2">
      <c r="A358" s="185"/>
      <c r="B358" s="185"/>
      <c r="C358" s="185"/>
      <c r="D358" s="185"/>
      <c r="E358" s="296"/>
      <c r="F358" s="311"/>
      <c r="G358" s="188"/>
      <c r="H358" s="188"/>
      <c r="I358" s="188"/>
      <c r="J358" s="188"/>
      <c r="K358" s="188"/>
      <c r="L358" s="188"/>
      <c r="M358" s="188"/>
      <c r="N358" s="99"/>
      <c r="O358" s="99"/>
      <c r="P358" s="191"/>
      <c r="Q358" s="218"/>
      <c r="R358" s="218"/>
    </row>
    <row r="359" spans="1:18" ht="12.75" hidden="1" outlineLevel="1" x14ac:dyDescent="0.2">
      <c r="A359" s="185"/>
      <c r="B359" s="185"/>
      <c r="C359" s="185"/>
      <c r="D359" s="185"/>
      <c r="E359" s="296"/>
      <c r="F359" s="311"/>
      <c r="G359" s="188"/>
      <c r="H359" s="188"/>
      <c r="I359" s="188"/>
      <c r="J359" s="188"/>
      <c r="K359" s="188"/>
      <c r="L359" s="188"/>
      <c r="M359" s="188"/>
      <c r="N359" s="99"/>
      <c r="O359" s="99"/>
      <c r="P359" s="191"/>
      <c r="Q359" s="218"/>
      <c r="R359" s="218"/>
    </row>
    <row r="360" spans="1:18" ht="12.75" hidden="1" outlineLevel="1" x14ac:dyDescent="0.2">
      <c r="A360" s="185"/>
      <c r="B360" s="185"/>
      <c r="C360" s="185"/>
      <c r="D360" s="185"/>
      <c r="E360" s="296"/>
      <c r="F360" s="311"/>
      <c r="G360" s="188"/>
      <c r="H360" s="188"/>
      <c r="I360" s="188"/>
      <c r="J360" s="188"/>
      <c r="K360" s="188"/>
      <c r="L360" s="188"/>
      <c r="M360" s="188"/>
      <c r="N360" s="99"/>
      <c r="O360" s="99"/>
      <c r="P360" s="191"/>
      <c r="Q360" s="218"/>
      <c r="R360" s="218"/>
    </row>
    <row r="361" spans="1:18" ht="12.75" hidden="1" outlineLevel="1" x14ac:dyDescent="0.2">
      <c r="A361" s="185"/>
      <c r="B361" s="185"/>
      <c r="C361" s="185"/>
      <c r="D361" s="185"/>
      <c r="E361" s="296"/>
      <c r="F361" s="311"/>
      <c r="G361" s="188"/>
      <c r="H361" s="188"/>
      <c r="I361" s="188"/>
      <c r="J361" s="188"/>
      <c r="K361" s="188"/>
      <c r="L361" s="188"/>
      <c r="M361" s="188"/>
      <c r="N361" s="99"/>
      <c r="O361" s="99"/>
      <c r="P361" s="191"/>
      <c r="Q361" s="218"/>
      <c r="R361" s="218"/>
    </row>
    <row r="362" spans="1:18" ht="12.75" hidden="1" outlineLevel="1" x14ac:dyDescent="0.2">
      <c r="A362" s="185"/>
      <c r="B362" s="185"/>
      <c r="C362" s="185"/>
      <c r="D362" s="185"/>
      <c r="E362" s="296"/>
      <c r="F362" s="311"/>
      <c r="G362" s="188"/>
      <c r="H362" s="188"/>
      <c r="I362" s="188"/>
      <c r="J362" s="188"/>
      <c r="K362" s="188"/>
      <c r="L362" s="188"/>
      <c r="M362" s="188"/>
      <c r="N362" s="99"/>
      <c r="O362" s="99"/>
      <c r="P362" s="191"/>
      <c r="Q362" s="218"/>
      <c r="R362" s="218"/>
    </row>
    <row r="363" spans="1:18" ht="12.75" hidden="1" outlineLevel="1" x14ac:dyDescent="0.2">
      <c r="A363" s="185"/>
      <c r="B363" s="185"/>
      <c r="C363" s="185"/>
      <c r="D363" s="185"/>
      <c r="E363" s="296"/>
      <c r="F363" s="311"/>
      <c r="G363" s="188"/>
      <c r="H363" s="188"/>
      <c r="I363" s="188"/>
      <c r="J363" s="188"/>
      <c r="K363" s="188"/>
      <c r="L363" s="188"/>
      <c r="M363" s="188"/>
      <c r="N363" s="99"/>
      <c r="O363" s="99"/>
      <c r="P363" s="191"/>
      <c r="Q363" s="218"/>
      <c r="R363" s="218"/>
    </row>
    <row r="364" spans="1:18" ht="12.75" hidden="1" outlineLevel="1" x14ac:dyDescent="0.2">
      <c r="A364" s="185"/>
      <c r="B364" s="185"/>
      <c r="C364" s="185"/>
      <c r="D364" s="185"/>
      <c r="E364" s="296"/>
      <c r="F364" s="311"/>
      <c r="G364" s="188"/>
      <c r="H364" s="188"/>
      <c r="I364" s="188"/>
      <c r="J364" s="188"/>
      <c r="K364" s="188"/>
      <c r="L364" s="188"/>
      <c r="M364" s="188"/>
      <c r="N364" s="99"/>
      <c r="O364" s="99"/>
      <c r="P364" s="191"/>
      <c r="Q364" s="218"/>
      <c r="R364" s="218"/>
    </row>
    <row r="365" spans="1:18" ht="12.75" hidden="1" outlineLevel="1" x14ac:dyDescent="0.2">
      <c r="A365" s="185"/>
      <c r="B365" s="185"/>
      <c r="C365" s="185"/>
      <c r="D365" s="185"/>
      <c r="E365" s="296"/>
      <c r="F365" s="311"/>
      <c r="G365" s="188"/>
      <c r="H365" s="188"/>
      <c r="I365" s="188"/>
      <c r="J365" s="188"/>
      <c r="K365" s="188"/>
      <c r="L365" s="188"/>
      <c r="M365" s="188"/>
      <c r="N365" s="99"/>
      <c r="O365" s="99"/>
      <c r="P365" s="191"/>
      <c r="Q365" s="218"/>
      <c r="R365" s="218"/>
    </row>
    <row r="366" spans="1:18" ht="12.75" hidden="1" outlineLevel="1" x14ac:dyDescent="0.2">
      <c r="A366" s="185"/>
      <c r="B366" s="185"/>
      <c r="C366" s="185"/>
      <c r="D366" s="185"/>
      <c r="E366" s="296"/>
      <c r="F366" s="311"/>
      <c r="G366" s="188"/>
      <c r="H366" s="188"/>
      <c r="I366" s="188"/>
      <c r="J366" s="188"/>
      <c r="K366" s="188"/>
      <c r="L366" s="188"/>
      <c r="M366" s="188"/>
      <c r="N366" s="99"/>
      <c r="O366" s="99"/>
      <c r="P366" s="191"/>
      <c r="Q366" s="218"/>
      <c r="R366" s="218"/>
    </row>
    <row r="367" spans="1:18" ht="12.75" hidden="1" outlineLevel="1" x14ac:dyDescent="0.2">
      <c r="A367" s="185"/>
      <c r="B367" s="185"/>
      <c r="C367" s="185"/>
      <c r="D367" s="185"/>
      <c r="E367" s="296"/>
      <c r="F367" s="311"/>
      <c r="G367" s="188"/>
      <c r="H367" s="188"/>
      <c r="I367" s="188"/>
      <c r="J367" s="188"/>
      <c r="K367" s="188"/>
      <c r="L367" s="188"/>
      <c r="M367" s="188"/>
      <c r="N367" s="99"/>
      <c r="O367" s="99"/>
      <c r="P367" s="191"/>
      <c r="Q367" s="218"/>
      <c r="R367" s="218"/>
    </row>
    <row r="368" spans="1:18" ht="12.75" hidden="1" outlineLevel="1" x14ac:dyDescent="0.2">
      <c r="A368" s="185"/>
      <c r="B368" s="185"/>
      <c r="C368" s="185"/>
      <c r="D368" s="185"/>
      <c r="E368" s="296"/>
      <c r="F368" s="311"/>
      <c r="G368" s="188"/>
      <c r="H368" s="188"/>
      <c r="I368" s="188"/>
      <c r="J368" s="188"/>
      <c r="K368" s="188"/>
      <c r="L368" s="188"/>
      <c r="M368" s="188"/>
      <c r="N368" s="99"/>
      <c r="O368" s="99"/>
      <c r="P368" s="191"/>
      <c r="Q368" s="218"/>
      <c r="R368" s="218"/>
    </row>
    <row r="369" spans="1:18" ht="12.75" hidden="1" outlineLevel="1" x14ac:dyDescent="0.2">
      <c r="A369" s="185"/>
      <c r="B369" s="185"/>
      <c r="C369" s="185"/>
      <c r="D369" s="185"/>
      <c r="E369" s="296"/>
      <c r="F369" s="311"/>
      <c r="G369" s="188"/>
      <c r="H369" s="188"/>
      <c r="I369" s="188"/>
      <c r="J369" s="188"/>
      <c r="K369" s="188"/>
      <c r="L369" s="188"/>
      <c r="M369" s="188"/>
      <c r="N369" s="99"/>
      <c r="O369" s="99"/>
      <c r="P369" s="191"/>
      <c r="Q369" s="218"/>
      <c r="R369" s="218"/>
    </row>
    <row r="370" spans="1:18" ht="12.75" hidden="1" outlineLevel="1" x14ac:dyDescent="0.2">
      <c r="A370" s="185"/>
      <c r="B370" s="185"/>
      <c r="C370" s="185"/>
      <c r="D370" s="185"/>
      <c r="E370" s="296"/>
      <c r="F370" s="311"/>
      <c r="G370" s="188"/>
      <c r="H370" s="188"/>
      <c r="I370" s="188"/>
      <c r="J370" s="188"/>
      <c r="K370" s="188"/>
      <c r="L370" s="188"/>
      <c r="M370" s="188"/>
      <c r="N370" s="99"/>
      <c r="O370" s="99"/>
      <c r="P370" s="191"/>
      <c r="Q370" s="218"/>
      <c r="R370" s="218"/>
    </row>
    <row r="371" spans="1:18" ht="12.75" hidden="1" outlineLevel="1" x14ac:dyDescent="0.2">
      <c r="A371" s="185"/>
      <c r="B371" s="185"/>
      <c r="C371" s="185"/>
      <c r="D371" s="185"/>
      <c r="E371" s="296"/>
      <c r="F371" s="311"/>
      <c r="G371" s="188"/>
      <c r="H371" s="188"/>
      <c r="I371" s="188"/>
      <c r="J371" s="188"/>
      <c r="K371" s="188"/>
      <c r="L371" s="188"/>
      <c r="M371" s="188"/>
      <c r="N371" s="99"/>
      <c r="O371" s="99"/>
      <c r="P371" s="191"/>
      <c r="Q371" s="218"/>
      <c r="R371" s="218"/>
    </row>
    <row r="372" spans="1:18" ht="12.75" hidden="1" outlineLevel="1" x14ac:dyDescent="0.2">
      <c r="A372" s="185"/>
      <c r="B372" s="185"/>
      <c r="C372" s="185"/>
      <c r="D372" s="185"/>
      <c r="E372" s="296"/>
      <c r="F372" s="311"/>
      <c r="G372" s="188"/>
      <c r="H372" s="188"/>
      <c r="I372" s="188"/>
      <c r="J372" s="188"/>
      <c r="K372" s="188"/>
      <c r="L372" s="188"/>
      <c r="M372" s="188"/>
      <c r="N372" s="99"/>
      <c r="O372" s="99"/>
      <c r="P372" s="191"/>
      <c r="Q372" s="218"/>
      <c r="R372" s="218"/>
    </row>
    <row r="373" spans="1:18" ht="12.75" hidden="1" outlineLevel="1" x14ac:dyDescent="0.2">
      <c r="A373" s="185"/>
      <c r="B373" s="185"/>
      <c r="C373" s="185"/>
      <c r="D373" s="185"/>
      <c r="E373" s="296"/>
      <c r="F373" s="311"/>
      <c r="G373" s="188"/>
      <c r="H373" s="188"/>
      <c r="I373" s="188"/>
      <c r="J373" s="188"/>
      <c r="K373" s="188"/>
      <c r="L373" s="188"/>
      <c r="M373" s="188"/>
      <c r="N373" s="99"/>
      <c r="O373" s="99"/>
      <c r="P373" s="191"/>
      <c r="Q373" s="218"/>
      <c r="R373" s="218"/>
    </row>
    <row r="374" spans="1:18" ht="12.75" hidden="1" outlineLevel="1" x14ac:dyDescent="0.2">
      <c r="A374" s="185"/>
      <c r="B374" s="185"/>
      <c r="C374" s="185"/>
      <c r="D374" s="185"/>
      <c r="E374" s="296"/>
      <c r="F374" s="311"/>
      <c r="G374" s="188"/>
      <c r="H374" s="188"/>
      <c r="I374" s="188"/>
      <c r="J374" s="188"/>
      <c r="K374" s="188"/>
      <c r="L374" s="188"/>
      <c r="M374" s="188"/>
      <c r="N374" s="99"/>
      <c r="O374" s="99"/>
      <c r="P374" s="191"/>
      <c r="Q374" s="218"/>
      <c r="R374" s="218"/>
    </row>
    <row r="375" spans="1:18" ht="12.75" hidden="1" outlineLevel="1" x14ac:dyDescent="0.2">
      <c r="A375" s="185"/>
      <c r="B375" s="185"/>
      <c r="C375" s="185"/>
      <c r="D375" s="185"/>
      <c r="E375" s="296"/>
      <c r="F375" s="311"/>
      <c r="G375" s="188"/>
      <c r="H375" s="188"/>
      <c r="I375" s="188"/>
      <c r="J375" s="188"/>
      <c r="K375" s="188"/>
      <c r="L375" s="188"/>
      <c r="M375" s="188"/>
      <c r="N375" s="99"/>
      <c r="O375" s="99"/>
      <c r="P375" s="191"/>
      <c r="Q375" s="218"/>
      <c r="R375" s="218"/>
    </row>
    <row r="376" spans="1:18" ht="12.75" hidden="1" outlineLevel="1" x14ac:dyDescent="0.2">
      <c r="A376" s="185"/>
      <c r="B376" s="185"/>
      <c r="C376" s="185"/>
      <c r="D376" s="185"/>
      <c r="E376" s="296"/>
      <c r="F376" s="311"/>
      <c r="G376" s="188"/>
      <c r="H376" s="188"/>
      <c r="I376" s="188"/>
      <c r="J376" s="188"/>
      <c r="K376" s="188"/>
      <c r="L376" s="188"/>
      <c r="M376" s="188"/>
      <c r="N376" s="99"/>
      <c r="O376" s="99"/>
      <c r="P376" s="191"/>
      <c r="Q376" s="218"/>
      <c r="R376" s="218"/>
    </row>
    <row r="377" spans="1:18" ht="12.75" hidden="1" outlineLevel="1" x14ac:dyDescent="0.2">
      <c r="A377" s="185"/>
      <c r="B377" s="185"/>
      <c r="C377" s="185"/>
      <c r="D377" s="185"/>
      <c r="E377" s="296"/>
      <c r="F377" s="311"/>
      <c r="G377" s="188"/>
      <c r="H377" s="188"/>
      <c r="I377" s="188"/>
      <c r="J377" s="188"/>
      <c r="K377" s="188"/>
      <c r="L377" s="188"/>
      <c r="M377" s="188"/>
      <c r="N377" s="99"/>
      <c r="O377" s="99"/>
      <c r="P377" s="191"/>
      <c r="Q377" s="218"/>
      <c r="R377" s="218"/>
    </row>
    <row r="378" spans="1:18" ht="12.75" hidden="1" outlineLevel="1" x14ac:dyDescent="0.2">
      <c r="A378" s="185"/>
      <c r="B378" s="185"/>
      <c r="C378" s="185"/>
      <c r="D378" s="185"/>
      <c r="E378" s="296"/>
      <c r="F378" s="311"/>
      <c r="G378" s="188"/>
      <c r="H378" s="188"/>
      <c r="I378" s="188"/>
      <c r="J378" s="188"/>
      <c r="K378" s="188"/>
      <c r="L378" s="188"/>
      <c r="M378" s="188"/>
      <c r="N378" s="99"/>
      <c r="O378" s="99"/>
      <c r="P378" s="191"/>
      <c r="Q378" s="218"/>
      <c r="R378" s="218"/>
    </row>
    <row r="379" spans="1:18" ht="12.75" hidden="1" outlineLevel="1" x14ac:dyDescent="0.2">
      <c r="A379" s="185"/>
      <c r="B379" s="185"/>
      <c r="C379" s="185"/>
      <c r="D379" s="185"/>
      <c r="E379" s="296"/>
      <c r="F379" s="311"/>
      <c r="G379" s="188"/>
      <c r="H379" s="188"/>
      <c r="I379" s="188"/>
      <c r="J379" s="188"/>
      <c r="K379" s="188"/>
      <c r="L379" s="188"/>
      <c r="M379" s="188"/>
      <c r="N379" s="99"/>
      <c r="O379" s="99"/>
      <c r="P379" s="191"/>
      <c r="Q379" s="218"/>
      <c r="R379" s="218"/>
    </row>
    <row r="380" spans="1:18" ht="12.75" hidden="1" outlineLevel="1" x14ac:dyDescent="0.2">
      <c r="A380" s="185"/>
      <c r="B380" s="185"/>
      <c r="C380" s="185"/>
      <c r="D380" s="185"/>
      <c r="E380" s="296"/>
      <c r="F380" s="311"/>
      <c r="G380" s="188"/>
      <c r="H380" s="188"/>
      <c r="I380" s="188"/>
      <c r="J380" s="188"/>
      <c r="K380" s="188"/>
      <c r="L380" s="188"/>
      <c r="M380" s="188"/>
      <c r="N380" s="99"/>
      <c r="O380" s="99"/>
      <c r="P380" s="191"/>
      <c r="Q380" s="218"/>
      <c r="R380" s="218"/>
    </row>
    <row r="381" spans="1:18" ht="12.75" hidden="1" outlineLevel="1" x14ac:dyDescent="0.2">
      <c r="A381" s="185"/>
      <c r="B381" s="185"/>
      <c r="C381" s="185"/>
      <c r="D381" s="185"/>
      <c r="E381" s="296"/>
      <c r="F381" s="311"/>
      <c r="G381" s="188"/>
      <c r="H381" s="188"/>
      <c r="I381" s="188"/>
      <c r="J381" s="188"/>
      <c r="K381" s="188"/>
      <c r="L381" s="188"/>
      <c r="M381" s="188"/>
      <c r="N381" s="99"/>
      <c r="O381" s="99"/>
      <c r="P381" s="191"/>
      <c r="Q381" s="218"/>
      <c r="R381" s="218"/>
    </row>
    <row r="382" spans="1:18" ht="12.75" hidden="1" outlineLevel="1" x14ac:dyDescent="0.2">
      <c r="A382" s="185"/>
      <c r="B382" s="185"/>
      <c r="C382" s="185"/>
      <c r="D382" s="185"/>
      <c r="E382" s="296"/>
      <c r="F382" s="311"/>
      <c r="G382" s="188"/>
      <c r="H382" s="188"/>
      <c r="I382" s="188"/>
      <c r="J382" s="188"/>
      <c r="K382" s="188"/>
      <c r="L382" s="188"/>
      <c r="M382" s="188"/>
      <c r="N382" s="99"/>
      <c r="O382" s="99"/>
      <c r="P382" s="191"/>
      <c r="Q382" s="218"/>
      <c r="R382" s="218"/>
    </row>
    <row r="383" spans="1:18" ht="12.75" hidden="1" outlineLevel="1" x14ac:dyDescent="0.2">
      <c r="A383" s="185"/>
      <c r="B383" s="185"/>
      <c r="C383" s="185"/>
      <c r="D383" s="185"/>
      <c r="E383" s="296"/>
      <c r="F383" s="311"/>
      <c r="G383" s="188"/>
      <c r="H383" s="188"/>
      <c r="I383" s="188"/>
      <c r="J383" s="188"/>
      <c r="K383" s="188"/>
      <c r="L383" s="188"/>
      <c r="M383" s="188"/>
      <c r="N383" s="99"/>
      <c r="O383" s="99"/>
      <c r="P383" s="191"/>
      <c r="Q383" s="218"/>
      <c r="R383" s="218"/>
    </row>
    <row r="384" spans="1:18" ht="12.75" hidden="1" outlineLevel="1" x14ac:dyDescent="0.2">
      <c r="A384" s="185"/>
      <c r="B384" s="185"/>
      <c r="C384" s="185"/>
      <c r="D384" s="185"/>
      <c r="E384" s="296"/>
      <c r="F384" s="311"/>
      <c r="G384" s="188"/>
      <c r="H384" s="188"/>
      <c r="I384" s="188"/>
      <c r="J384" s="188"/>
      <c r="K384" s="188"/>
      <c r="L384" s="188"/>
      <c r="M384" s="188"/>
      <c r="N384" s="99"/>
      <c r="O384" s="99"/>
      <c r="P384" s="191"/>
      <c r="Q384" s="218"/>
      <c r="R384" s="218"/>
    </row>
    <row r="385" spans="1:18" ht="12.75" hidden="1" outlineLevel="1" x14ac:dyDescent="0.2">
      <c r="A385" s="185"/>
      <c r="B385" s="185"/>
      <c r="C385" s="185"/>
      <c r="D385" s="185"/>
      <c r="E385" s="296"/>
      <c r="F385" s="311"/>
      <c r="G385" s="188"/>
      <c r="H385" s="188"/>
      <c r="I385" s="188"/>
      <c r="J385" s="188"/>
      <c r="K385" s="188"/>
      <c r="L385" s="188"/>
      <c r="M385" s="188"/>
      <c r="N385" s="99"/>
      <c r="O385" s="99"/>
      <c r="P385" s="191"/>
      <c r="Q385" s="218"/>
      <c r="R385" s="218"/>
    </row>
    <row r="386" spans="1:18" ht="12.75" hidden="1" outlineLevel="1" x14ac:dyDescent="0.2">
      <c r="A386" s="185"/>
      <c r="B386" s="185"/>
      <c r="C386" s="185"/>
      <c r="D386" s="185"/>
      <c r="E386" s="296"/>
      <c r="F386" s="311"/>
      <c r="G386" s="188"/>
      <c r="H386" s="188"/>
      <c r="I386" s="188"/>
      <c r="J386" s="188"/>
      <c r="K386" s="188"/>
      <c r="L386" s="188"/>
      <c r="M386" s="188"/>
      <c r="N386" s="99"/>
      <c r="O386" s="99"/>
      <c r="P386" s="191"/>
      <c r="Q386" s="218"/>
      <c r="R386" s="218"/>
    </row>
    <row r="387" spans="1:18" ht="12.75" hidden="1" outlineLevel="1" x14ac:dyDescent="0.2">
      <c r="A387" s="185"/>
      <c r="B387" s="185"/>
      <c r="C387" s="185"/>
      <c r="D387" s="185"/>
      <c r="E387" s="296"/>
      <c r="F387" s="311"/>
      <c r="G387" s="188"/>
      <c r="H387" s="188"/>
      <c r="I387" s="188"/>
      <c r="J387" s="188"/>
      <c r="K387" s="188"/>
      <c r="L387" s="188"/>
      <c r="M387" s="188"/>
      <c r="N387" s="99"/>
      <c r="O387" s="99"/>
      <c r="P387" s="191"/>
      <c r="Q387" s="218"/>
      <c r="R387" s="218"/>
    </row>
    <row r="388" spans="1:18" ht="12.75" hidden="1" outlineLevel="1" x14ac:dyDescent="0.2">
      <c r="A388" s="185"/>
      <c r="B388" s="185"/>
      <c r="C388" s="185"/>
      <c r="D388" s="185"/>
      <c r="E388" s="296"/>
      <c r="F388" s="311"/>
      <c r="G388" s="188"/>
      <c r="H388" s="188"/>
      <c r="I388" s="188"/>
      <c r="J388" s="188"/>
      <c r="K388" s="188"/>
      <c r="L388" s="188"/>
      <c r="M388" s="188"/>
      <c r="N388" s="99"/>
      <c r="O388" s="99"/>
      <c r="P388" s="191"/>
      <c r="Q388" s="218"/>
      <c r="R388" s="218"/>
    </row>
    <row r="389" spans="1:18" ht="12.75" hidden="1" outlineLevel="1" x14ac:dyDescent="0.2">
      <c r="A389" s="185"/>
      <c r="B389" s="185"/>
      <c r="C389" s="185"/>
      <c r="D389" s="185"/>
      <c r="E389" s="296"/>
      <c r="F389" s="311"/>
      <c r="G389" s="188"/>
      <c r="H389" s="188"/>
      <c r="I389" s="188"/>
      <c r="J389" s="188"/>
      <c r="K389" s="188"/>
      <c r="L389" s="188"/>
      <c r="M389" s="188"/>
      <c r="N389" s="99"/>
      <c r="O389" s="99"/>
      <c r="P389" s="191"/>
      <c r="Q389" s="218"/>
      <c r="R389" s="218"/>
    </row>
    <row r="390" spans="1:18" ht="12.75" hidden="1" outlineLevel="1" x14ac:dyDescent="0.2">
      <c r="A390" s="185"/>
      <c r="B390" s="185"/>
      <c r="C390" s="185"/>
      <c r="D390" s="185"/>
      <c r="E390" s="296"/>
      <c r="F390" s="311"/>
      <c r="G390" s="188"/>
      <c r="H390" s="188"/>
      <c r="I390" s="188"/>
      <c r="J390" s="188"/>
      <c r="K390" s="188"/>
      <c r="L390" s="188"/>
      <c r="M390" s="188"/>
      <c r="N390" s="99"/>
      <c r="O390" s="99"/>
      <c r="P390" s="191"/>
      <c r="Q390" s="218"/>
      <c r="R390" s="218"/>
    </row>
    <row r="391" spans="1:18" ht="12.75" hidden="1" outlineLevel="1" x14ac:dyDescent="0.2">
      <c r="A391" s="185"/>
      <c r="B391" s="185"/>
      <c r="C391" s="185"/>
      <c r="D391" s="185"/>
      <c r="E391" s="296"/>
      <c r="F391" s="311"/>
      <c r="G391" s="188"/>
      <c r="H391" s="188"/>
      <c r="I391" s="188"/>
      <c r="J391" s="188"/>
      <c r="K391" s="188"/>
      <c r="L391" s="188"/>
      <c r="M391" s="188"/>
      <c r="N391" s="99"/>
      <c r="O391" s="99"/>
      <c r="P391" s="191"/>
      <c r="Q391" s="218"/>
      <c r="R391" s="218"/>
    </row>
    <row r="392" spans="1:18" ht="12.75" hidden="1" outlineLevel="1" x14ac:dyDescent="0.2">
      <c r="A392" s="185"/>
      <c r="B392" s="185"/>
      <c r="C392" s="185"/>
      <c r="D392" s="185"/>
      <c r="E392" s="296"/>
      <c r="F392" s="311"/>
      <c r="G392" s="188"/>
      <c r="H392" s="188"/>
      <c r="I392" s="188"/>
      <c r="J392" s="188"/>
      <c r="K392" s="188"/>
      <c r="L392" s="188"/>
      <c r="M392" s="188"/>
      <c r="N392" s="99"/>
      <c r="O392" s="99"/>
      <c r="P392" s="191"/>
      <c r="Q392" s="218"/>
      <c r="R392" s="218"/>
    </row>
    <row r="393" spans="1:18" ht="12.75" hidden="1" outlineLevel="1" x14ac:dyDescent="0.2">
      <c r="A393" s="185"/>
      <c r="B393" s="185"/>
      <c r="C393" s="185"/>
      <c r="D393" s="185"/>
      <c r="E393" s="296"/>
      <c r="F393" s="311"/>
      <c r="G393" s="188"/>
      <c r="H393" s="188"/>
      <c r="I393" s="188"/>
      <c r="J393" s="188"/>
      <c r="K393" s="188"/>
      <c r="L393" s="188"/>
      <c r="M393" s="188"/>
      <c r="N393" s="99"/>
      <c r="O393" s="99"/>
      <c r="P393" s="191"/>
      <c r="Q393" s="218"/>
      <c r="R393" s="218"/>
    </row>
    <row r="394" spans="1:18" ht="12.75" hidden="1" outlineLevel="1" x14ac:dyDescent="0.2">
      <c r="A394" s="185"/>
      <c r="B394" s="185"/>
      <c r="C394" s="185"/>
      <c r="D394" s="185"/>
      <c r="E394" s="296"/>
      <c r="F394" s="311"/>
      <c r="G394" s="188"/>
      <c r="H394" s="188"/>
      <c r="I394" s="188"/>
      <c r="J394" s="188"/>
      <c r="K394" s="188"/>
      <c r="L394" s="188"/>
      <c r="M394" s="188"/>
      <c r="N394" s="99"/>
      <c r="O394" s="99"/>
      <c r="P394" s="191"/>
      <c r="Q394" s="218"/>
      <c r="R394" s="218"/>
    </row>
    <row r="395" spans="1:18" ht="12.75" hidden="1" outlineLevel="1" x14ac:dyDescent="0.2">
      <c r="A395" s="185"/>
      <c r="B395" s="185"/>
      <c r="C395" s="185"/>
      <c r="D395" s="185"/>
      <c r="E395" s="296"/>
      <c r="F395" s="311"/>
      <c r="G395" s="188"/>
      <c r="H395" s="188"/>
      <c r="I395" s="188"/>
      <c r="J395" s="188"/>
      <c r="K395" s="188"/>
      <c r="L395" s="188"/>
      <c r="M395" s="188"/>
      <c r="N395" s="99"/>
      <c r="O395" s="99"/>
      <c r="P395" s="191"/>
      <c r="Q395" s="218"/>
      <c r="R395" s="218"/>
    </row>
    <row r="396" spans="1:18" ht="12.75" hidden="1" outlineLevel="1" x14ac:dyDescent="0.2">
      <c r="A396" s="185"/>
      <c r="B396" s="185"/>
      <c r="C396" s="185"/>
      <c r="D396" s="185"/>
      <c r="E396" s="296"/>
      <c r="F396" s="311"/>
      <c r="G396" s="188"/>
      <c r="H396" s="188"/>
      <c r="I396" s="188"/>
      <c r="J396" s="188"/>
      <c r="K396" s="188"/>
      <c r="L396" s="188"/>
      <c r="M396" s="188"/>
      <c r="N396" s="99"/>
      <c r="O396" s="99"/>
      <c r="P396" s="191"/>
      <c r="Q396" s="218"/>
      <c r="R396" s="218"/>
    </row>
    <row r="397" spans="1:18" ht="12.75" hidden="1" outlineLevel="1" x14ac:dyDescent="0.2">
      <c r="A397" s="185"/>
      <c r="B397" s="185"/>
      <c r="C397" s="185"/>
      <c r="D397" s="185"/>
      <c r="E397" s="296"/>
      <c r="F397" s="311"/>
      <c r="G397" s="188"/>
      <c r="H397" s="188"/>
      <c r="I397" s="188"/>
      <c r="J397" s="188"/>
      <c r="K397" s="188"/>
      <c r="L397" s="188"/>
      <c r="M397" s="188"/>
      <c r="N397" s="99"/>
      <c r="O397" s="99"/>
      <c r="P397" s="191"/>
      <c r="Q397" s="218"/>
      <c r="R397" s="218"/>
    </row>
    <row r="398" spans="1:18" ht="12.75" hidden="1" outlineLevel="1" x14ac:dyDescent="0.2">
      <c r="A398" s="185"/>
      <c r="B398" s="185"/>
      <c r="C398" s="185"/>
      <c r="D398" s="185"/>
      <c r="E398" s="296"/>
      <c r="F398" s="311"/>
      <c r="G398" s="188"/>
      <c r="H398" s="188"/>
      <c r="I398" s="188"/>
      <c r="J398" s="188"/>
      <c r="K398" s="188"/>
      <c r="L398" s="188"/>
      <c r="M398" s="188"/>
      <c r="N398" s="99"/>
      <c r="O398" s="99"/>
      <c r="P398" s="191"/>
      <c r="Q398" s="218"/>
      <c r="R398" s="218"/>
    </row>
    <row r="399" spans="1:18" ht="12.75" hidden="1" outlineLevel="1" x14ac:dyDescent="0.2">
      <c r="A399" s="185"/>
      <c r="B399" s="185"/>
      <c r="C399" s="185"/>
      <c r="D399" s="185"/>
      <c r="E399" s="296"/>
      <c r="F399" s="311"/>
      <c r="G399" s="188"/>
      <c r="H399" s="188"/>
      <c r="I399" s="188"/>
      <c r="J399" s="188"/>
      <c r="K399" s="188"/>
      <c r="L399" s="188"/>
      <c r="M399" s="188"/>
      <c r="N399" s="99"/>
      <c r="O399" s="99"/>
      <c r="P399" s="191"/>
      <c r="Q399" s="218"/>
      <c r="R399" s="218"/>
    </row>
    <row r="400" spans="1:18" ht="12.75" hidden="1" outlineLevel="1" x14ac:dyDescent="0.2">
      <c r="A400" s="185"/>
      <c r="B400" s="185"/>
      <c r="C400" s="185"/>
      <c r="D400" s="185"/>
      <c r="E400" s="296"/>
      <c r="F400" s="311"/>
      <c r="G400" s="188"/>
      <c r="H400" s="188"/>
      <c r="I400" s="188"/>
      <c r="J400" s="188"/>
      <c r="K400" s="188"/>
      <c r="L400" s="188"/>
      <c r="M400" s="188"/>
      <c r="N400" s="99"/>
      <c r="O400" s="99"/>
      <c r="P400" s="191"/>
      <c r="Q400" s="218"/>
      <c r="R400" s="218"/>
    </row>
    <row r="401" spans="1:18" ht="12.75" hidden="1" outlineLevel="1" x14ac:dyDescent="0.2">
      <c r="A401" s="185"/>
      <c r="B401" s="185"/>
      <c r="C401" s="185"/>
      <c r="D401" s="185"/>
      <c r="E401" s="296"/>
      <c r="F401" s="311"/>
      <c r="G401" s="188"/>
      <c r="H401" s="188"/>
      <c r="I401" s="188"/>
      <c r="J401" s="188"/>
      <c r="K401" s="188"/>
      <c r="L401" s="188"/>
      <c r="M401" s="188"/>
      <c r="N401" s="99"/>
      <c r="O401" s="99"/>
      <c r="P401" s="191"/>
      <c r="Q401" s="218"/>
      <c r="R401" s="218"/>
    </row>
    <row r="402" spans="1:18" ht="12.75" hidden="1" outlineLevel="1" x14ac:dyDescent="0.2">
      <c r="A402" s="185"/>
      <c r="B402" s="185"/>
      <c r="C402" s="185"/>
      <c r="D402" s="185"/>
      <c r="E402" s="296"/>
      <c r="F402" s="311"/>
      <c r="G402" s="188"/>
      <c r="H402" s="188"/>
      <c r="I402" s="188"/>
      <c r="J402" s="188"/>
      <c r="K402" s="188"/>
      <c r="L402" s="188"/>
      <c r="M402" s="188"/>
      <c r="N402" s="99"/>
      <c r="O402" s="99"/>
      <c r="P402" s="191"/>
      <c r="Q402" s="218"/>
      <c r="R402" s="218"/>
    </row>
    <row r="403" spans="1:18" ht="12.75" hidden="1" outlineLevel="1" x14ac:dyDescent="0.2">
      <c r="A403" s="185"/>
      <c r="B403" s="185"/>
      <c r="C403" s="185"/>
      <c r="D403" s="185"/>
      <c r="E403" s="296"/>
      <c r="F403" s="311"/>
      <c r="G403" s="188"/>
      <c r="H403" s="188"/>
      <c r="I403" s="188"/>
      <c r="J403" s="188"/>
      <c r="K403" s="188"/>
      <c r="L403" s="188"/>
      <c r="M403" s="188"/>
      <c r="N403" s="99"/>
      <c r="O403" s="99"/>
      <c r="P403" s="191"/>
      <c r="Q403" s="218"/>
      <c r="R403" s="218"/>
    </row>
    <row r="404" spans="1:18" ht="12.75" x14ac:dyDescent="0.2">
      <c r="A404" s="185"/>
      <c r="B404" s="185"/>
      <c r="C404" s="185"/>
      <c r="D404" s="185"/>
      <c r="E404" s="296"/>
      <c r="F404" s="311"/>
      <c r="G404" s="188"/>
      <c r="H404" s="188"/>
      <c r="I404" s="188"/>
      <c r="J404" s="188"/>
      <c r="K404" s="188"/>
      <c r="L404" s="188"/>
      <c r="M404" s="188"/>
      <c r="N404" s="99"/>
      <c r="O404" s="99"/>
      <c r="P404" s="191"/>
      <c r="Q404" s="218"/>
      <c r="R404" s="218"/>
    </row>
  </sheetData>
  <mergeCells count="20">
    <mergeCell ref="A305:G305"/>
    <mergeCell ref="A319:G321"/>
    <mergeCell ref="B13:R13"/>
    <mergeCell ref="B14:R14"/>
    <mergeCell ref="B15:R15"/>
    <mergeCell ref="B16:R16"/>
    <mergeCell ref="G28:M28"/>
    <mergeCell ref="A139:C139"/>
    <mergeCell ref="B7:R7"/>
    <mergeCell ref="B8:R8"/>
    <mergeCell ref="B9:R9"/>
    <mergeCell ref="B10:R10"/>
    <mergeCell ref="B11:R11"/>
    <mergeCell ref="B12:R12"/>
    <mergeCell ref="A1:R1"/>
    <mergeCell ref="B2:R2"/>
    <mergeCell ref="B3:R3"/>
    <mergeCell ref="B4:R4"/>
    <mergeCell ref="B5:R5"/>
    <mergeCell ref="B6:R6"/>
  </mergeCells>
  <hyperlinks>
    <hyperlink ref="B28" r:id="rId1" xr:uid="{2044F78F-83B3-4DB3-A399-FBB2D1F5D8FE}"/>
    <hyperlink ref="P55" r:id="rId2" xr:uid="{6A992E13-877F-4DAF-A825-91840EC2F9B6}"/>
    <hyperlink ref="P89" r:id="rId3" xr:uid="{47AD98AB-7F8E-4331-876E-C4B9608DA48B}"/>
    <hyperlink ref="P90" r:id="rId4" xr:uid="{81F10271-C248-4DE4-8D1D-73D9BE40A105}"/>
    <hyperlink ref="P95" r:id="rId5" xr:uid="{5A02DFC0-2B9E-43E8-8F5A-747EEB7AE60C}"/>
    <hyperlink ref="P104" r:id="rId6" xr:uid="{64E0B9BE-AD1D-46B8-BD75-0267395326B2}"/>
    <hyperlink ref="P106" r:id="rId7" xr:uid="{B39DE558-61DA-4B98-980A-B93699133A7C}"/>
    <hyperlink ref="P107" r:id="rId8" xr:uid="{9F665742-BA04-47D9-9EDF-EA993E2AC04E}"/>
    <hyperlink ref="P108" r:id="rId9" xr:uid="{1CF4CC7F-59EF-4E1B-9D82-FCA99C68330B}"/>
    <hyperlink ref="P109" r:id="rId10" xr:uid="{5CC8DC34-90EB-47E0-8977-90967B26BCE7}"/>
    <hyperlink ref="P110" r:id="rId11" xr:uid="{5B9A9413-D662-405B-A4AA-B4902C62881A}"/>
    <hyperlink ref="P111" r:id="rId12" xr:uid="{2D310FD6-EB1B-4575-ABF4-B8488075A49F}"/>
    <hyperlink ref="P112" r:id="rId13" xr:uid="{ED8842E3-FD6C-4F8E-85EC-5E58B2F3A62E}"/>
    <hyperlink ref="P113" r:id="rId14" xr:uid="{96577CC6-6D13-40B1-ABB1-DC0FD5ADA3A2}"/>
    <hyperlink ref="P114" r:id="rId15" xr:uid="{D598C8CD-4C38-46CE-836A-0833207870B7}"/>
    <hyperlink ref="P115" r:id="rId16" xr:uid="{8D704CD3-EE31-427B-8A2F-DBDC5B81E04B}"/>
    <hyperlink ref="P119" r:id="rId17" xr:uid="{D5077B9B-6398-445F-A10A-ACA932994DCD}"/>
  </hyperlinks>
  <pageMargins left="0.7" right="0.7" top="0.75" bottom="0.75" header="0.3" footer="0.3"/>
  <pageSetup orientation="portrait" horizontalDpi="300" verticalDpi="300" r:id="rId18"/>
  <drawing r:id="rId19"/>
  <legacyDrawing r:id="rId2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T112"/>
  <sheetViews>
    <sheetView zoomScale="130" zoomScaleNormal="130" workbookViewId="0">
      <pane ySplit="7" topLeftCell="A47" activePane="bottomLeft" state="frozen"/>
      <selection pane="bottomLeft" activeCell="E66" sqref="E66:E67"/>
    </sheetView>
  </sheetViews>
  <sheetFormatPr defaultRowHeight="15" x14ac:dyDescent="0.25"/>
  <cols>
    <col min="1" max="1" width="5.5703125" style="30" customWidth="1"/>
    <col min="2" max="2" width="3.85546875" style="30" customWidth="1"/>
    <col min="3" max="3" width="10.28515625" style="30" bestFit="1" customWidth="1"/>
    <col min="4" max="4" width="23.28515625" style="30" customWidth="1"/>
    <col min="5" max="5" width="10.7109375" style="41" bestFit="1" customWidth="1"/>
    <col min="6" max="6" width="10.5703125" style="31" customWidth="1"/>
    <col min="7" max="7" width="2.85546875" style="31" customWidth="1"/>
    <col min="8" max="9" width="10.5703125" style="31" customWidth="1"/>
    <col min="10" max="10" width="2.85546875" style="31" customWidth="1"/>
    <col min="11" max="11" width="10.7109375" style="32" customWidth="1"/>
    <col min="12" max="12" width="2.85546875" style="31" customWidth="1"/>
    <col min="13" max="13" width="10.7109375" style="41" bestFit="1" customWidth="1"/>
    <col min="14" max="14" width="10.5703125" style="31" customWidth="1"/>
    <col min="15" max="15" width="2.85546875" style="31" customWidth="1"/>
    <col min="16" max="16" width="11.28515625" style="32" bestFit="1" customWidth="1"/>
    <col min="17" max="17" width="9.140625" style="30"/>
    <col min="18" max="18" width="11.140625" style="33" bestFit="1" customWidth="1"/>
    <col min="19" max="20" width="10.5703125" style="33" bestFit="1" customWidth="1"/>
    <col min="21" max="21" width="9.140625" style="30"/>
    <col min="22" max="22" width="11.140625" style="30" bestFit="1" customWidth="1"/>
    <col min="23" max="16384" width="9.140625" style="30"/>
  </cols>
  <sheetData>
    <row r="1" spans="1:20" s="1" customFormat="1" x14ac:dyDescent="0.25">
      <c r="A1" s="48" t="s">
        <v>51</v>
      </c>
      <c r="B1" s="48"/>
      <c r="C1" s="48"/>
      <c r="D1" s="49"/>
      <c r="E1" s="51"/>
      <c r="F1" s="48"/>
      <c r="G1" s="48"/>
      <c r="H1" s="48"/>
      <c r="I1" s="48"/>
      <c r="J1" s="48"/>
      <c r="K1" s="50"/>
      <c r="L1" s="48"/>
      <c r="M1" s="51"/>
      <c r="N1" s="48"/>
      <c r="O1" s="48"/>
      <c r="P1" s="50"/>
      <c r="R1" s="2"/>
      <c r="S1" s="2"/>
      <c r="T1" s="2"/>
    </row>
    <row r="2" spans="1:20" s="1" customFormat="1" x14ac:dyDescent="0.25">
      <c r="A2" s="48" t="s">
        <v>78</v>
      </c>
      <c r="B2" s="48"/>
      <c r="C2" s="48"/>
      <c r="D2" s="49"/>
      <c r="E2" s="51"/>
      <c r="F2" s="48"/>
      <c r="G2" s="48"/>
      <c r="H2" s="48"/>
      <c r="I2" s="48"/>
      <c r="J2" s="48"/>
      <c r="K2" s="48"/>
      <c r="L2" s="48"/>
      <c r="M2" s="51"/>
      <c r="N2" s="48"/>
      <c r="O2" s="48"/>
      <c r="P2" s="48"/>
      <c r="R2" s="2"/>
      <c r="S2" s="2"/>
      <c r="T2" s="2"/>
    </row>
    <row r="3" spans="1:20" s="1" customFormat="1" x14ac:dyDescent="0.25">
      <c r="A3" s="48">
        <v>2022</v>
      </c>
      <c r="B3" s="48"/>
      <c r="C3" s="48"/>
      <c r="D3" s="49"/>
      <c r="E3" s="51"/>
      <c r="F3" s="48"/>
      <c r="G3" s="48"/>
      <c r="H3" s="48"/>
      <c r="I3" s="48"/>
      <c r="J3" s="48"/>
      <c r="K3" s="50"/>
      <c r="L3" s="48"/>
      <c r="M3" s="51"/>
      <c r="N3" s="48"/>
      <c r="O3" s="48"/>
      <c r="P3" s="50"/>
      <c r="R3" s="2"/>
      <c r="S3" s="2"/>
      <c r="T3" s="2"/>
    </row>
    <row r="4" spans="1:20" s="1" customFormat="1" ht="15.75" thickBot="1" x14ac:dyDescent="0.3">
      <c r="A4" s="52"/>
      <c r="B4" s="52"/>
      <c r="C4" s="52"/>
      <c r="D4" s="53"/>
      <c r="E4" s="55"/>
      <c r="F4" s="52"/>
      <c r="G4" s="52"/>
      <c r="H4" s="52"/>
      <c r="I4" s="52"/>
      <c r="J4" s="52"/>
      <c r="K4" s="54"/>
      <c r="L4" s="52"/>
      <c r="M4" s="55"/>
      <c r="N4" s="52"/>
      <c r="O4" s="52"/>
      <c r="P4" s="54"/>
      <c r="R4" s="7"/>
      <c r="S4" s="2"/>
      <c r="T4" s="2"/>
    </row>
    <row r="6" spans="1:20" x14ac:dyDescent="0.25">
      <c r="H6" s="166"/>
      <c r="I6" s="166"/>
      <c r="K6" s="57" t="s">
        <v>2</v>
      </c>
      <c r="P6" s="57" t="s">
        <v>2</v>
      </c>
    </row>
    <row r="7" spans="1:20" s="1" customFormat="1" ht="15" customHeight="1" x14ac:dyDescent="0.25">
      <c r="E7" s="165" t="s">
        <v>75</v>
      </c>
      <c r="F7" s="166"/>
      <c r="G7" s="3"/>
      <c r="H7" s="165" t="s">
        <v>54</v>
      </c>
      <c r="I7" s="166"/>
      <c r="J7" s="3"/>
      <c r="K7" s="56" t="s">
        <v>76</v>
      </c>
      <c r="L7" s="3"/>
      <c r="M7" s="165" t="s">
        <v>77</v>
      </c>
      <c r="N7" s="166"/>
      <c r="O7" s="3"/>
      <c r="P7" s="56" t="s">
        <v>76</v>
      </c>
      <c r="Q7" s="35"/>
      <c r="R7" s="2"/>
      <c r="S7" s="2"/>
      <c r="T7" s="2"/>
    </row>
    <row r="9" spans="1:20" s="4" customFormat="1" x14ac:dyDescent="0.25">
      <c r="A9" s="4" t="s">
        <v>0</v>
      </c>
      <c r="E9" s="36"/>
      <c r="F9" s="5"/>
      <c r="G9" s="5"/>
      <c r="H9" s="5"/>
      <c r="I9" s="5"/>
      <c r="J9" s="5"/>
      <c r="K9" s="6"/>
      <c r="L9" s="5"/>
      <c r="M9" s="36"/>
      <c r="N9" s="5"/>
      <c r="O9" s="5"/>
      <c r="P9" s="6"/>
      <c r="S9" s="7"/>
      <c r="T9" s="7"/>
    </row>
    <row r="10" spans="1:20" s="8" customFormat="1" x14ac:dyDescent="0.25">
      <c r="B10" s="8" t="s">
        <v>5</v>
      </c>
      <c r="E10" s="9">
        <f>6000+6000</f>
        <v>12000</v>
      </c>
      <c r="F10" s="10"/>
      <c r="G10" s="10"/>
      <c r="H10" s="9">
        <f>6000+6000</f>
        <v>12000</v>
      </c>
      <c r="I10" s="10"/>
      <c r="J10" s="10"/>
      <c r="K10" s="59">
        <f>+E10-H10</f>
        <v>0</v>
      </c>
      <c r="L10" s="10"/>
      <c r="M10" s="42">
        <f>15725.1+2520-800</f>
        <v>17445.099999999999</v>
      </c>
      <c r="N10" s="10"/>
      <c r="O10" s="10"/>
      <c r="P10" s="59">
        <f>+E10-M10</f>
        <v>-5445.0999999999985</v>
      </c>
      <c r="R10" s="12"/>
      <c r="S10" s="12"/>
      <c r="T10" s="12"/>
    </row>
    <row r="11" spans="1:20" s="8" customFormat="1" x14ac:dyDescent="0.25">
      <c r="B11" s="8" t="s">
        <v>1</v>
      </c>
      <c r="E11" s="10">
        <v>6000</v>
      </c>
      <c r="F11" s="10"/>
      <c r="G11" s="10"/>
      <c r="H11" s="10">
        <v>6000</v>
      </c>
      <c r="I11" s="10"/>
      <c r="J11" s="10"/>
      <c r="K11" s="60">
        <f>+E11-H11</f>
        <v>0</v>
      </c>
      <c r="L11" s="10"/>
      <c r="M11" s="37">
        <v>750</v>
      </c>
      <c r="N11" s="10"/>
      <c r="O11" s="10"/>
      <c r="P11" s="60">
        <f>+E11-M11</f>
        <v>5250</v>
      </c>
      <c r="R11" s="12"/>
      <c r="S11" s="12"/>
      <c r="T11" s="12"/>
    </row>
    <row r="12" spans="1:20" s="8" customFormat="1" x14ac:dyDescent="0.25">
      <c r="B12" s="8" t="s">
        <v>11</v>
      </c>
      <c r="E12" s="34">
        <v>0</v>
      </c>
      <c r="F12" s="10"/>
      <c r="G12" s="10"/>
      <c r="H12" s="34">
        <v>0</v>
      </c>
      <c r="I12" s="10"/>
      <c r="J12" s="10"/>
      <c r="K12" s="64">
        <f>+E12+H12</f>
        <v>0</v>
      </c>
      <c r="L12" s="10"/>
      <c r="M12" s="38">
        <v>19.079999999999998</v>
      </c>
      <c r="N12" s="10"/>
      <c r="O12" s="10"/>
      <c r="P12" s="64">
        <f>+E12-M12</f>
        <v>-19.079999999999998</v>
      </c>
      <c r="R12" s="12"/>
      <c r="S12" s="12"/>
      <c r="T12" s="12"/>
    </row>
    <row r="13" spans="1:20" s="8" customFormat="1" x14ac:dyDescent="0.25">
      <c r="B13" s="8" t="s">
        <v>71</v>
      </c>
      <c r="E13" s="13">
        <v>0</v>
      </c>
      <c r="F13" s="10"/>
      <c r="G13" s="10"/>
      <c r="H13" s="13">
        <v>0</v>
      </c>
      <c r="I13" s="10"/>
      <c r="J13" s="10"/>
      <c r="K13" s="61">
        <f>+E13+H13</f>
        <v>0</v>
      </c>
      <c r="L13" s="10"/>
      <c r="M13" s="13">
        <f>11678.94+800</f>
        <v>12478.94</v>
      </c>
      <c r="N13" s="10"/>
      <c r="O13" s="10"/>
      <c r="P13" s="61">
        <f>+E13-M13</f>
        <v>-12478.94</v>
      </c>
      <c r="R13" s="12"/>
      <c r="S13" s="12"/>
      <c r="T13" s="12"/>
    </row>
    <row r="14" spans="1:20" s="8" customFormat="1" x14ac:dyDescent="0.25">
      <c r="E14" s="37"/>
      <c r="F14" s="10"/>
      <c r="G14" s="10"/>
      <c r="H14" s="10"/>
      <c r="I14" s="10"/>
      <c r="J14" s="10"/>
      <c r="K14" s="11"/>
      <c r="L14" s="10"/>
      <c r="M14" s="37"/>
      <c r="N14" s="10"/>
      <c r="O14" s="10"/>
      <c r="P14" s="11"/>
      <c r="R14" s="12"/>
      <c r="S14" s="12"/>
      <c r="T14" s="12"/>
    </row>
    <row r="15" spans="1:20" s="4" customFormat="1" x14ac:dyDescent="0.25">
      <c r="A15" s="4" t="s">
        <v>3</v>
      </c>
      <c r="E15" s="36"/>
      <c r="F15" s="15">
        <f>SUM(E10:E14)</f>
        <v>18000</v>
      </c>
      <c r="G15" s="15"/>
      <c r="H15" s="15"/>
      <c r="I15" s="15">
        <f>SUM(H10:H14)</f>
        <v>18000</v>
      </c>
      <c r="J15" s="15"/>
      <c r="K15" s="16">
        <f>+F15-I15</f>
        <v>0</v>
      </c>
      <c r="L15" s="15"/>
      <c r="M15" s="36"/>
      <c r="N15" s="15">
        <f>SUM(M10:M14)</f>
        <v>30693.120000000003</v>
      </c>
      <c r="O15" s="15"/>
      <c r="P15" s="16">
        <f>+F15-N15</f>
        <v>-12693.120000000003</v>
      </c>
      <c r="R15" s="7"/>
      <c r="S15" s="7"/>
      <c r="T15" s="7"/>
    </row>
    <row r="16" spans="1:20" s="8" customFormat="1" x14ac:dyDescent="0.25">
      <c r="E16" s="37"/>
      <c r="F16" s="10"/>
      <c r="G16" s="10"/>
      <c r="H16" s="10"/>
      <c r="I16" s="10"/>
      <c r="J16" s="10"/>
      <c r="K16" s="11"/>
      <c r="L16" s="10"/>
      <c r="M16" s="37"/>
      <c r="N16" s="10"/>
      <c r="O16" s="10"/>
      <c r="P16" s="11"/>
      <c r="R16" s="12"/>
      <c r="S16" s="12"/>
      <c r="T16" s="12"/>
    </row>
    <row r="17" spans="1:20" s="4" customFormat="1" x14ac:dyDescent="0.25">
      <c r="A17" s="4" t="s">
        <v>4</v>
      </c>
      <c r="E17" s="36"/>
      <c r="F17" s="5"/>
      <c r="G17" s="5"/>
      <c r="H17" s="5"/>
      <c r="I17" s="5"/>
      <c r="J17" s="5"/>
      <c r="K17" s="43"/>
      <c r="L17" s="5"/>
      <c r="M17" s="36"/>
      <c r="N17" s="5"/>
      <c r="O17" s="5"/>
      <c r="P17" s="6"/>
      <c r="R17" s="7"/>
      <c r="S17" s="7"/>
      <c r="T17" s="7"/>
    </row>
    <row r="18" spans="1:20" s="8" customFormat="1" x14ac:dyDescent="0.25">
      <c r="B18" s="8" t="s">
        <v>18</v>
      </c>
      <c r="E18" s="37">
        <v>1200</v>
      </c>
      <c r="F18" s="10"/>
      <c r="G18" s="10"/>
      <c r="H18" s="10">
        <v>0</v>
      </c>
      <c r="I18" s="10"/>
      <c r="J18" s="10"/>
      <c r="K18" s="44">
        <f>+H18-E18</f>
        <v>-1200</v>
      </c>
      <c r="L18" s="10"/>
      <c r="M18" s="37">
        <v>0</v>
      </c>
      <c r="N18" s="10"/>
      <c r="O18" s="10"/>
      <c r="P18" s="44">
        <f t="shared" ref="P18:P31" si="0">-E18+M18</f>
        <v>-1200</v>
      </c>
      <c r="Q18" s="35"/>
      <c r="R18" s="12"/>
      <c r="S18" s="12"/>
      <c r="T18" s="12"/>
    </row>
    <row r="19" spans="1:20" s="8" customFormat="1" x14ac:dyDescent="0.25">
      <c r="B19" s="8" t="s">
        <v>31</v>
      </c>
      <c r="E19" s="37">
        <v>1496</v>
      </c>
      <c r="F19" s="10"/>
      <c r="G19" s="10"/>
      <c r="H19" s="10">
        <f>500+250</f>
        <v>750</v>
      </c>
      <c r="I19" s="10"/>
      <c r="J19" s="10"/>
      <c r="K19" s="44">
        <f t="shared" ref="K19:K31" si="1">+H19-E19</f>
        <v>-746</v>
      </c>
      <c r="L19" s="10"/>
      <c r="M19" s="37">
        <v>0</v>
      </c>
      <c r="N19" s="10"/>
      <c r="O19" s="10"/>
      <c r="P19" s="44">
        <f t="shared" si="0"/>
        <v>-1496</v>
      </c>
      <c r="R19" s="12"/>
      <c r="S19" s="12"/>
      <c r="T19" s="12"/>
    </row>
    <row r="20" spans="1:20" s="8" customFormat="1" x14ac:dyDescent="0.25">
      <c r="B20" s="8" t="s">
        <v>20</v>
      </c>
      <c r="E20" s="37">
        <v>1200</v>
      </c>
      <c r="F20" s="10"/>
      <c r="G20" s="10"/>
      <c r="H20" s="10">
        <f>250+250</f>
        <v>500</v>
      </c>
      <c r="I20" s="10"/>
      <c r="J20" s="10"/>
      <c r="K20" s="44">
        <f t="shared" si="1"/>
        <v>-700</v>
      </c>
      <c r="L20" s="10"/>
      <c r="M20" s="37">
        <v>0</v>
      </c>
      <c r="N20" s="10"/>
      <c r="O20" s="10"/>
      <c r="P20" s="44">
        <f t="shared" si="0"/>
        <v>-1200</v>
      </c>
      <c r="R20" s="12"/>
      <c r="S20" s="12"/>
      <c r="T20" s="12"/>
    </row>
    <row r="21" spans="1:20" s="8" customFormat="1" x14ac:dyDescent="0.25">
      <c r="B21" s="8" t="s">
        <v>10</v>
      </c>
      <c r="E21" s="37">
        <v>0</v>
      </c>
      <c r="F21" s="10"/>
      <c r="G21" s="10"/>
      <c r="H21" s="10">
        <v>400</v>
      </c>
      <c r="I21" s="10"/>
      <c r="J21" s="10"/>
      <c r="K21" s="44">
        <f t="shared" si="1"/>
        <v>400</v>
      </c>
      <c r="L21" s="10"/>
      <c r="M21" s="37">
        <v>0</v>
      </c>
      <c r="N21" s="10"/>
      <c r="O21" s="10"/>
      <c r="P21" s="44">
        <f t="shared" si="0"/>
        <v>0</v>
      </c>
      <c r="R21" s="12"/>
      <c r="S21" s="12"/>
      <c r="T21" s="12"/>
    </row>
    <row r="22" spans="1:20" s="8" customFormat="1" x14ac:dyDescent="0.25">
      <c r="B22" s="8" t="s">
        <v>17</v>
      </c>
      <c r="E22" s="37">
        <v>0</v>
      </c>
      <c r="F22" s="10"/>
      <c r="G22" s="10"/>
      <c r="H22" s="10">
        <v>0</v>
      </c>
      <c r="I22" s="10"/>
      <c r="J22" s="10"/>
      <c r="K22" s="44">
        <f t="shared" si="1"/>
        <v>0</v>
      </c>
      <c r="L22" s="10"/>
      <c r="M22" s="37">
        <v>21</v>
      </c>
      <c r="N22" s="10"/>
      <c r="O22" s="10"/>
      <c r="P22" s="44">
        <f t="shared" si="0"/>
        <v>21</v>
      </c>
      <c r="R22" s="12"/>
      <c r="S22" s="12"/>
      <c r="T22" s="12"/>
    </row>
    <row r="23" spans="1:20" s="8" customFormat="1" x14ac:dyDescent="0.25">
      <c r="B23" s="8" t="s">
        <v>12</v>
      </c>
      <c r="E23" s="37">
        <f>1054+513</f>
        <v>1567</v>
      </c>
      <c r="F23" s="10"/>
      <c r="G23" s="10"/>
      <c r="H23" s="10">
        <f>150+50+20+50+95</f>
        <v>365</v>
      </c>
      <c r="I23" s="10"/>
      <c r="J23" s="10"/>
      <c r="K23" s="44">
        <f t="shared" si="1"/>
        <v>-1202</v>
      </c>
      <c r="L23" s="10"/>
      <c r="M23" s="37">
        <f>150</f>
        <v>150</v>
      </c>
      <c r="N23" s="10"/>
      <c r="O23" s="10"/>
      <c r="P23" s="44">
        <f t="shared" si="0"/>
        <v>-1417</v>
      </c>
      <c r="R23" s="12"/>
      <c r="S23" s="12"/>
      <c r="T23" s="12"/>
    </row>
    <row r="24" spans="1:20" s="8" customFormat="1" x14ac:dyDescent="0.25">
      <c r="B24" s="8" t="s">
        <v>14</v>
      </c>
      <c r="E24" s="37">
        <v>400</v>
      </c>
      <c r="F24" s="10"/>
      <c r="G24" s="10"/>
      <c r="H24" s="10">
        <f>400+500</f>
        <v>900</v>
      </c>
      <c r="I24" s="10"/>
      <c r="J24" s="10"/>
      <c r="K24" s="44">
        <f t="shared" si="1"/>
        <v>500</v>
      </c>
      <c r="L24" s="10"/>
      <c r="M24" s="37">
        <v>259.54000000000002</v>
      </c>
      <c r="N24" s="10"/>
      <c r="O24" s="10"/>
      <c r="P24" s="44">
        <f t="shared" si="0"/>
        <v>-140.45999999999998</v>
      </c>
      <c r="R24" s="12"/>
      <c r="S24" s="12"/>
      <c r="T24" s="12"/>
    </row>
    <row r="25" spans="1:20" s="8" customFormat="1" x14ac:dyDescent="0.25">
      <c r="B25" s="8" t="s">
        <v>15</v>
      </c>
      <c r="E25" s="37">
        <f>300+271+600+476+1825</f>
        <v>3472</v>
      </c>
      <c r="F25" s="10"/>
      <c r="G25" s="10"/>
      <c r="H25" s="10">
        <f>210+180+240+450+300+1000</f>
        <v>2380</v>
      </c>
      <c r="I25" s="10"/>
      <c r="J25" s="10"/>
      <c r="K25" s="44">
        <f t="shared" si="1"/>
        <v>-1092</v>
      </c>
      <c r="L25" s="10"/>
      <c r="M25" s="37">
        <f>101.76+107.35+286.58+2198+553.53+677.24</f>
        <v>3924.46</v>
      </c>
      <c r="N25" s="10"/>
      <c r="O25" s="10"/>
      <c r="P25" s="44">
        <f t="shared" si="0"/>
        <v>452.46000000000004</v>
      </c>
      <c r="R25" s="12" t="s">
        <v>50</v>
      </c>
      <c r="S25" s="12"/>
      <c r="T25" s="12"/>
    </row>
    <row r="26" spans="1:20" s="8" customFormat="1" x14ac:dyDescent="0.25">
      <c r="B26" s="8" t="s">
        <v>62</v>
      </c>
      <c r="E26" s="72">
        <f>75*12</f>
        <v>900</v>
      </c>
      <c r="F26" s="10"/>
      <c r="G26" s="10"/>
      <c r="H26" s="10">
        <v>336</v>
      </c>
      <c r="I26" s="10"/>
      <c r="J26" s="10"/>
      <c r="K26" s="44">
        <f t="shared" si="1"/>
        <v>-564</v>
      </c>
      <c r="L26" s="10"/>
      <c r="M26" s="37">
        <f>488.25+417.85</f>
        <v>906.1</v>
      </c>
      <c r="N26" s="10"/>
      <c r="O26" s="10"/>
      <c r="P26" s="44">
        <f t="shared" si="0"/>
        <v>6.1000000000000227</v>
      </c>
      <c r="R26" s="12"/>
      <c r="S26" s="12"/>
      <c r="T26" s="12"/>
    </row>
    <row r="27" spans="1:20" s="8" customFormat="1" x14ac:dyDescent="0.25">
      <c r="B27" s="8" t="s">
        <v>80</v>
      </c>
      <c r="E27" s="38">
        <f>21445-400</f>
        <v>21045</v>
      </c>
      <c r="F27" s="10"/>
      <c r="G27" s="10"/>
      <c r="H27" s="34">
        <f>1856+3750+2785+9545</f>
        <v>17936</v>
      </c>
      <c r="I27" s="10"/>
      <c r="J27" s="10"/>
      <c r="K27" s="44">
        <f t="shared" si="1"/>
        <v>-3109</v>
      </c>
      <c r="L27" s="10"/>
      <c r="M27" s="38">
        <v>19949.400000000001</v>
      </c>
      <c r="N27" s="10"/>
      <c r="O27" s="10"/>
      <c r="P27" s="44">
        <f t="shared" si="0"/>
        <v>-1095.5999999999985</v>
      </c>
      <c r="R27" s="12"/>
      <c r="S27" s="12"/>
      <c r="T27" s="12"/>
    </row>
    <row r="28" spans="1:20" s="8" customFormat="1" x14ac:dyDescent="0.25">
      <c r="B28" s="8" t="s">
        <v>48</v>
      </c>
      <c r="E28" s="73">
        <f>608*12</f>
        <v>7296</v>
      </c>
      <c r="F28" s="10"/>
      <c r="G28" s="10"/>
      <c r="H28" s="34">
        <v>0</v>
      </c>
      <c r="I28" s="10"/>
      <c r="J28" s="10"/>
      <c r="K28" s="58">
        <f t="shared" si="1"/>
        <v>-7296</v>
      </c>
      <c r="L28" s="10"/>
      <c r="M28" s="38">
        <v>4360.42</v>
      </c>
      <c r="N28" s="10"/>
      <c r="O28" s="10"/>
      <c r="P28" s="58">
        <f t="shared" si="0"/>
        <v>-2935.58</v>
      </c>
      <c r="R28" s="12" t="s">
        <v>49</v>
      </c>
      <c r="S28" s="12"/>
      <c r="T28" s="12"/>
    </row>
    <row r="29" spans="1:20" s="8" customFormat="1" x14ac:dyDescent="0.25">
      <c r="B29" s="8" t="s">
        <v>58</v>
      </c>
      <c r="E29" s="38">
        <v>0</v>
      </c>
      <c r="F29" s="10"/>
      <c r="G29" s="10"/>
      <c r="H29" s="34">
        <v>0</v>
      </c>
      <c r="I29" s="10"/>
      <c r="J29" s="10"/>
      <c r="K29" s="58">
        <f t="shared" si="1"/>
        <v>0</v>
      </c>
      <c r="L29" s="10"/>
      <c r="M29" s="38">
        <v>1122.2</v>
      </c>
      <c r="N29" s="10"/>
      <c r="O29" s="10"/>
      <c r="P29" s="58">
        <f t="shared" si="0"/>
        <v>1122.2</v>
      </c>
      <c r="R29" s="12"/>
      <c r="S29" s="12"/>
      <c r="T29" s="12"/>
    </row>
    <row r="30" spans="1:20" s="8" customFormat="1" x14ac:dyDescent="0.25">
      <c r="B30" s="8" t="s">
        <v>52</v>
      </c>
      <c r="E30" s="38">
        <v>2140</v>
      </c>
      <c r="F30" s="10"/>
      <c r="G30" s="10"/>
      <c r="H30" s="34">
        <v>1013</v>
      </c>
      <c r="I30" s="10"/>
      <c r="J30" s="10"/>
      <c r="K30" s="58">
        <f t="shared" si="1"/>
        <v>-1127</v>
      </c>
      <c r="L30" s="10"/>
      <c r="M30" s="38">
        <v>0</v>
      </c>
      <c r="N30" s="10"/>
      <c r="O30" s="10"/>
      <c r="P30" s="58">
        <f t="shared" si="0"/>
        <v>-2140</v>
      </c>
      <c r="R30" s="12"/>
      <c r="S30" s="12"/>
      <c r="T30" s="12"/>
    </row>
    <row r="31" spans="1:20" s="8" customFormat="1" x14ac:dyDescent="0.25">
      <c r="B31" s="8" t="s">
        <v>53</v>
      </c>
      <c r="E31" s="39">
        <v>2140</v>
      </c>
      <c r="F31" s="10"/>
      <c r="G31" s="10"/>
      <c r="H31" s="13">
        <v>615</v>
      </c>
      <c r="I31" s="10"/>
      <c r="J31" s="10"/>
      <c r="K31" s="45">
        <f t="shared" si="1"/>
        <v>-1525</v>
      </c>
      <c r="L31" s="10"/>
      <c r="M31" s="39">
        <v>0</v>
      </c>
      <c r="N31" s="10"/>
      <c r="O31" s="10"/>
      <c r="P31" s="45">
        <f t="shared" si="0"/>
        <v>-2140</v>
      </c>
      <c r="R31" s="12"/>
      <c r="S31" s="12"/>
      <c r="T31" s="12"/>
    </row>
    <row r="32" spans="1:20" s="8" customFormat="1" x14ac:dyDescent="0.25">
      <c r="E32" s="37"/>
      <c r="F32" s="10"/>
      <c r="G32" s="10"/>
      <c r="H32" s="10"/>
      <c r="I32" s="10"/>
      <c r="J32" s="10"/>
      <c r="K32" s="11"/>
      <c r="L32" s="10"/>
      <c r="M32" s="37"/>
      <c r="N32" s="10"/>
      <c r="O32" s="10"/>
      <c r="P32" s="11"/>
      <c r="R32" s="12"/>
      <c r="S32" s="12"/>
      <c r="T32" s="12"/>
    </row>
    <row r="33" spans="1:20" s="4" customFormat="1" x14ac:dyDescent="0.25">
      <c r="A33" s="4" t="s">
        <v>16</v>
      </c>
      <c r="E33" s="36"/>
      <c r="F33" s="17">
        <f>SUM(E18:E32)</f>
        <v>42856</v>
      </c>
      <c r="G33" s="18"/>
      <c r="H33" s="18"/>
      <c r="I33" s="17">
        <f>SUM(H18:H32)</f>
        <v>25195</v>
      </c>
      <c r="J33" s="18"/>
      <c r="K33" s="19">
        <f>+F33-I33</f>
        <v>17661</v>
      </c>
      <c r="L33" s="18"/>
      <c r="M33" s="36"/>
      <c r="N33" s="17">
        <f>SUM(M18:M32)</f>
        <v>30693.119999999999</v>
      </c>
      <c r="O33" s="18"/>
      <c r="P33" s="19">
        <f>+N33-F33</f>
        <v>-12162.880000000001</v>
      </c>
      <c r="R33" s="7"/>
      <c r="S33" s="7"/>
      <c r="T33" s="7"/>
    </row>
    <row r="34" spans="1:20" s="4" customFormat="1" x14ac:dyDescent="0.25">
      <c r="E34" s="36"/>
      <c r="F34" s="5"/>
      <c r="G34" s="5"/>
      <c r="H34" s="5"/>
      <c r="I34" s="5"/>
      <c r="J34" s="5"/>
      <c r="K34" s="6"/>
      <c r="L34" s="5"/>
      <c r="M34" s="36"/>
      <c r="N34" s="5"/>
      <c r="O34" s="5"/>
      <c r="P34" s="11"/>
      <c r="R34" s="7"/>
      <c r="S34" s="7"/>
      <c r="T34" s="7"/>
    </row>
    <row r="35" spans="1:20" s="20" customFormat="1" x14ac:dyDescent="0.25">
      <c r="A35" s="20" t="s">
        <v>41</v>
      </c>
      <c r="E35" s="36"/>
      <c r="F35" s="21">
        <f>+F15-F33</f>
        <v>-24856</v>
      </c>
      <c r="G35" s="15"/>
      <c r="H35" s="15"/>
      <c r="I35" s="15">
        <f>+I15-I33</f>
        <v>-7195</v>
      </c>
      <c r="J35" s="15"/>
      <c r="K35" s="16">
        <f>+F35-I35</f>
        <v>-17661</v>
      </c>
      <c r="L35" s="15"/>
      <c r="M35" s="36"/>
      <c r="N35" s="21">
        <f>+N15-N33</f>
        <v>0</v>
      </c>
      <c r="O35" s="15"/>
      <c r="P35" s="16">
        <f>+F35-N35</f>
        <v>-24856</v>
      </c>
      <c r="R35" s="22"/>
      <c r="S35" s="22"/>
      <c r="T35" s="22"/>
    </row>
    <row r="36" spans="1:20" s="4" customFormat="1" x14ac:dyDescent="0.25">
      <c r="E36" s="36"/>
      <c r="F36" s="5"/>
      <c r="G36" s="5"/>
      <c r="H36" s="5"/>
      <c r="I36" s="5"/>
      <c r="J36" s="5"/>
      <c r="K36" s="6"/>
      <c r="L36" s="5"/>
      <c r="M36" s="36"/>
      <c r="N36" s="5"/>
      <c r="O36" s="5"/>
      <c r="P36" s="6"/>
      <c r="R36" s="7"/>
      <c r="S36" s="7"/>
      <c r="T36" s="7"/>
    </row>
    <row r="37" spans="1:20" s="8" customFormat="1" x14ac:dyDescent="0.25">
      <c r="A37" s="4" t="s">
        <v>45</v>
      </c>
      <c r="E37" s="37"/>
      <c r="F37" s="10"/>
      <c r="G37" s="10"/>
      <c r="H37" s="10"/>
      <c r="I37" s="10"/>
      <c r="J37" s="10"/>
      <c r="K37" s="11"/>
      <c r="L37" s="10"/>
      <c r="M37" s="37"/>
      <c r="N37" s="10"/>
      <c r="O37" s="10"/>
      <c r="P37" s="11"/>
      <c r="R37" s="12"/>
      <c r="S37" s="12"/>
      <c r="T37" s="12"/>
    </row>
    <row r="38" spans="1:20" s="8" customFormat="1" x14ac:dyDescent="0.25">
      <c r="B38" s="4" t="s">
        <v>60</v>
      </c>
      <c r="E38" s="40">
        <v>17439</v>
      </c>
      <c r="F38" s="23"/>
      <c r="G38" s="23"/>
      <c r="H38" s="23">
        <v>2000</v>
      </c>
      <c r="I38" s="23"/>
      <c r="J38" s="23"/>
      <c r="K38" s="46"/>
      <c r="L38" s="23"/>
      <c r="M38" s="40">
        <v>2000</v>
      </c>
      <c r="N38" s="23"/>
      <c r="O38" s="23"/>
      <c r="P38" s="46"/>
      <c r="R38" s="12"/>
      <c r="S38" s="12"/>
      <c r="T38" s="12"/>
    </row>
    <row r="39" spans="1:20" s="8" customFormat="1" x14ac:dyDescent="0.25">
      <c r="C39" s="8" t="s">
        <v>22</v>
      </c>
      <c r="E39" s="62"/>
      <c r="F39" s="23"/>
      <c r="G39" s="23"/>
      <c r="H39" s="25">
        <v>0</v>
      </c>
      <c r="I39" s="23"/>
      <c r="J39" s="23"/>
      <c r="K39" s="44"/>
      <c r="L39" s="23"/>
      <c r="M39" s="62">
        <v>0</v>
      </c>
      <c r="N39" s="23"/>
      <c r="O39" s="23"/>
      <c r="P39" s="44"/>
      <c r="R39" s="12"/>
      <c r="S39" s="12"/>
      <c r="T39" s="12"/>
    </row>
    <row r="40" spans="1:20" s="8" customFormat="1" x14ac:dyDescent="0.25">
      <c r="C40" s="8" t="s">
        <v>23</v>
      </c>
      <c r="E40" s="62"/>
      <c r="F40" s="23"/>
      <c r="G40" s="23"/>
      <c r="H40" s="25">
        <v>0</v>
      </c>
      <c r="I40" s="23"/>
      <c r="J40" s="23"/>
      <c r="K40" s="44"/>
      <c r="L40" s="23"/>
      <c r="M40" s="62">
        <v>1102</v>
      </c>
      <c r="N40" s="23"/>
      <c r="O40" s="23"/>
      <c r="P40" s="44"/>
      <c r="R40" s="12"/>
      <c r="S40" s="12"/>
      <c r="T40" s="12"/>
    </row>
    <row r="41" spans="1:20" s="8" customFormat="1" x14ac:dyDescent="0.25">
      <c r="C41" s="8" t="s">
        <v>24</v>
      </c>
      <c r="E41" s="62"/>
      <c r="F41" s="23"/>
      <c r="G41" s="23"/>
      <c r="H41" s="25">
        <v>0</v>
      </c>
      <c r="I41" s="23"/>
      <c r="J41" s="23"/>
      <c r="K41" s="44"/>
      <c r="L41" s="23"/>
      <c r="M41" s="62">
        <v>2690.25</v>
      </c>
      <c r="N41" s="23"/>
      <c r="O41" s="23"/>
      <c r="P41" s="44"/>
      <c r="R41" s="12"/>
      <c r="S41" s="12"/>
      <c r="T41" s="12"/>
    </row>
    <row r="42" spans="1:20" s="8" customFormat="1" x14ac:dyDescent="0.25">
      <c r="C42" s="8" t="s">
        <v>25</v>
      </c>
      <c r="E42" s="25"/>
      <c r="F42" s="23"/>
      <c r="G42" s="23"/>
      <c r="H42" s="25">
        <v>2675</v>
      </c>
      <c r="I42" s="23"/>
      <c r="J42" s="23"/>
      <c r="K42" s="44"/>
      <c r="L42" s="23"/>
      <c r="M42" s="25">
        <f>925+1000</f>
        <v>1925</v>
      </c>
      <c r="N42" s="23"/>
      <c r="O42" s="23"/>
      <c r="P42" s="44"/>
      <c r="R42" s="12"/>
      <c r="S42" s="12"/>
      <c r="T42" s="12"/>
    </row>
    <row r="43" spans="1:20" s="8" customFormat="1" x14ac:dyDescent="0.25">
      <c r="C43" s="8" t="s">
        <v>68</v>
      </c>
      <c r="E43" s="25"/>
      <c r="F43" s="23"/>
      <c r="G43" s="23"/>
      <c r="H43" s="25">
        <v>0</v>
      </c>
      <c r="I43" s="23"/>
      <c r="J43" s="23"/>
      <c r="K43" s="44"/>
      <c r="L43" s="23"/>
      <c r="M43" s="25">
        <v>900</v>
      </c>
      <c r="N43" s="23"/>
      <c r="O43" s="23"/>
      <c r="P43" s="44"/>
      <c r="R43" s="12"/>
      <c r="S43" s="12"/>
      <c r="T43" s="12"/>
    </row>
    <row r="44" spans="1:20" s="8" customFormat="1" x14ac:dyDescent="0.25">
      <c r="C44" s="8" t="s">
        <v>72</v>
      </c>
      <c r="E44" s="25"/>
      <c r="F44" s="23"/>
      <c r="G44" s="23"/>
      <c r="H44" s="25">
        <v>0</v>
      </c>
      <c r="I44" s="23"/>
      <c r="J44" s="23"/>
      <c r="K44" s="44"/>
      <c r="L44" s="23"/>
      <c r="M44" s="25">
        <v>2500</v>
      </c>
      <c r="N44" s="23"/>
      <c r="O44" s="23"/>
      <c r="P44" s="44"/>
      <c r="R44" s="12"/>
      <c r="S44" s="12"/>
      <c r="T44" s="12"/>
    </row>
    <row r="45" spans="1:20" s="8" customFormat="1" x14ac:dyDescent="0.25">
      <c r="C45" s="8" t="s">
        <v>74</v>
      </c>
      <c r="E45" s="25"/>
      <c r="F45" s="23"/>
      <c r="G45" s="23"/>
      <c r="H45" s="25"/>
      <c r="I45" s="23"/>
      <c r="J45" s="23"/>
      <c r="K45" s="44"/>
      <c r="L45" s="23"/>
      <c r="M45" s="25">
        <v>2500</v>
      </c>
      <c r="N45" s="23"/>
      <c r="O45" s="23"/>
      <c r="P45" s="44"/>
      <c r="R45" s="12"/>
      <c r="S45" s="12"/>
      <c r="T45" s="12"/>
    </row>
    <row r="46" spans="1:20" s="8" customFormat="1" x14ac:dyDescent="0.25">
      <c r="C46" s="8" t="s">
        <v>42</v>
      </c>
      <c r="E46" s="25"/>
      <c r="F46" s="23"/>
      <c r="G46" s="23"/>
      <c r="H46" s="25">
        <v>0</v>
      </c>
      <c r="I46" s="23"/>
      <c r="J46" s="23"/>
      <c r="K46" s="44"/>
      <c r="L46" s="23"/>
      <c r="M46" s="25">
        <v>37630</v>
      </c>
      <c r="N46" s="23"/>
      <c r="O46" s="23"/>
      <c r="P46" s="44"/>
      <c r="R46" s="12"/>
      <c r="S46" s="12"/>
      <c r="T46" s="12"/>
    </row>
    <row r="47" spans="1:20" s="8" customFormat="1" x14ac:dyDescent="0.25">
      <c r="C47" s="8" t="s">
        <v>73</v>
      </c>
      <c r="E47" s="25"/>
      <c r="F47" s="23"/>
      <c r="G47" s="23"/>
      <c r="H47" s="25"/>
      <c r="I47" s="23"/>
      <c r="J47" s="23"/>
      <c r="K47" s="44"/>
      <c r="L47" s="23"/>
      <c r="M47" s="25">
        <v>20217.87</v>
      </c>
      <c r="N47" s="23"/>
      <c r="O47" s="23"/>
      <c r="P47" s="44"/>
      <c r="R47" s="12"/>
      <c r="S47" s="12"/>
      <c r="T47" s="12"/>
    </row>
    <row r="48" spans="1:20" s="8" customFormat="1" x14ac:dyDescent="0.25">
      <c r="C48" s="8" t="s">
        <v>44</v>
      </c>
      <c r="E48" s="63"/>
      <c r="F48" s="47"/>
      <c r="G48" s="47"/>
      <c r="H48" s="25">
        <v>0</v>
      </c>
      <c r="I48" s="23"/>
      <c r="J48" s="23"/>
      <c r="K48" s="44"/>
      <c r="L48" s="23"/>
      <c r="M48" s="63">
        <v>2262</v>
      </c>
      <c r="N48" s="47"/>
      <c r="O48" s="23"/>
      <c r="P48" s="44"/>
      <c r="R48" s="12"/>
      <c r="S48" s="12"/>
      <c r="T48" s="12"/>
    </row>
    <row r="49" spans="2:20" s="8" customFormat="1" x14ac:dyDescent="0.25">
      <c r="E49" s="62"/>
      <c r="F49" s="23"/>
      <c r="G49" s="23"/>
      <c r="H49" s="25"/>
      <c r="I49" s="23"/>
      <c r="J49" s="23"/>
      <c r="K49" s="24"/>
      <c r="L49" s="23"/>
      <c r="M49" s="62"/>
      <c r="N49" s="23"/>
      <c r="O49" s="23"/>
      <c r="P49" s="24"/>
      <c r="R49" s="12"/>
      <c r="S49" s="12"/>
      <c r="T49" s="12"/>
    </row>
    <row r="50" spans="2:20" s="8" customFormat="1" x14ac:dyDescent="0.25">
      <c r="B50" s="8" t="s">
        <v>35</v>
      </c>
      <c r="E50" s="62">
        <v>13798</v>
      </c>
      <c r="F50" s="23"/>
      <c r="G50" s="23"/>
      <c r="H50" s="25"/>
      <c r="I50" s="23"/>
      <c r="J50" s="23"/>
      <c r="K50" s="24"/>
      <c r="L50" s="23"/>
      <c r="M50" s="62"/>
      <c r="N50" s="23"/>
      <c r="O50" s="23"/>
      <c r="P50" s="24"/>
      <c r="R50" s="12"/>
      <c r="S50" s="12"/>
      <c r="T50" s="12"/>
    </row>
    <row r="51" spans="2:20" s="8" customFormat="1" x14ac:dyDescent="0.25">
      <c r="C51" s="8" t="s">
        <v>28</v>
      </c>
      <c r="E51" s="62"/>
      <c r="F51" s="23"/>
      <c r="G51" s="23"/>
      <c r="H51" s="25">
        <v>0</v>
      </c>
      <c r="I51" s="23"/>
      <c r="J51" s="23"/>
      <c r="K51" s="44"/>
      <c r="L51" s="23"/>
      <c r="M51" s="62">
        <v>0</v>
      </c>
      <c r="N51" s="23"/>
      <c r="O51" s="23"/>
      <c r="P51" s="44"/>
      <c r="R51" s="12"/>
      <c r="S51" s="12"/>
      <c r="T51" s="12"/>
    </row>
    <row r="52" spans="2:20" s="8" customFormat="1" x14ac:dyDescent="0.25">
      <c r="C52" s="8" t="s">
        <v>29</v>
      </c>
      <c r="E52" s="62"/>
      <c r="F52" s="23"/>
      <c r="G52" s="23"/>
      <c r="H52" s="25">
        <v>0</v>
      </c>
      <c r="I52" s="23"/>
      <c r="J52" s="23"/>
      <c r="K52" s="44"/>
      <c r="L52" s="23"/>
      <c r="M52" s="62">
        <v>831</v>
      </c>
      <c r="N52" s="23"/>
      <c r="O52" s="23"/>
      <c r="P52" s="44"/>
      <c r="R52" s="12"/>
      <c r="S52" s="12"/>
      <c r="T52" s="12"/>
    </row>
    <row r="53" spans="2:20" s="8" customFormat="1" x14ac:dyDescent="0.25">
      <c r="C53" s="8" t="s">
        <v>32</v>
      </c>
      <c r="E53" s="62"/>
      <c r="F53" s="23"/>
      <c r="G53" s="23"/>
      <c r="H53" s="25">
        <v>0</v>
      </c>
      <c r="I53" s="23"/>
      <c r="J53" s="23"/>
      <c r="K53" s="44"/>
      <c r="L53" s="23"/>
      <c r="M53" s="62">
        <v>0</v>
      </c>
      <c r="N53" s="23"/>
      <c r="O53" s="23"/>
      <c r="P53" s="44"/>
      <c r="R53" s="12"/>
      <c r="S53" s="12"/>
      <c r="T53" s="12"/>
    </row>
    <row r="54" spans="2:20" s="8" customFormat="1" x14ac:dyDescent="0.25">
      <c r="C54" s="8" t="s">
        <v>33</v>
      </c>
      <c r="E54" s="62"/>
      <c r="F54" s="23"/>
      <c r="G54" s="23"/>
      <c r="H54" s="25">
        <v>0</v>
      </c>
      <c r="I54" s="23"/>
      <c r="J54" s="23"/>
      <c r="K54" s="44"/>
      <c r="L54" s="23"/>
      <c r="M54" s="62">
        <v>0</v>
      </c>
      <c r="N54" s="23"/>
      <c r="O54" s="23"/>
      <c r="P54" s="44"/>
      <c r="R54" s="12"/>
      <c r="S54" s="12"/>
      <c r="T54" s="12"/>
    </row>
    <row r="55" spans="2:20" s="8" customFormat="1" x14ac:dyDescent="0.25">
      <c r="C55" s="8" t="s">
        <v>34</v>
      </c>
      <c r="E55" s="62"/>
      <c r="F55" s="23"/>
      <c r="G55" s="23"/>
      <c r="H55" s="25">
        <v>0</v>
      </c>
      <c r="I55" s="23"/>
      <c r="J55" s="23"/>
      <c r="K55" s="44"/>
      <c r="L55" s="23"/>
      <c r="M55" s="62">
        <v>1031.58</v>
      </c>
      <c r="N55" s="23"/>
      <c r="O55" s="23"/>
      <c r="P55" s="44"/>
      <c r="R55" s="12"/>
      <c r="S55" s="12"/>
      <c r="T55" s="12"/>
    </row>
    <row r="56" spans="2:20" s="8" customFormat="1" x14ac:dyDescent="0.25">
      <c r="C56" s="8" t="s">
        <v>37</v>
      </c>
      <c r="E56" s="62"/>
      <c r="F56" s="23"/>
      <c r="G56" s="23"/>
      <c r="H56" s="25">
        <v>0</v>
      </c>
      <c r="I56" s="23"/>
      <c r="J56" s="23"/>
      <c r="K56" s="44"/>
      <c r="L56" s="23"/>
      <c r="M56" s="62">
        <v>18696.75</v>
      </c>
      <c r="N56" s="23"/>
      <c r="O56" s="23"/>
      <c r="P56" s="44"/>
      <c r="R56" s="12"/>
      <c r="S56" s="12"/>
      <c r="T56" s="12"/>
    </row>
    <row r="57" spans="2:20" s="8" customFormat="1" x14ac:dyDescent="0.25">
      <c r="C57" s="8" t="s">
        <v>38</v>
      </c>
      <c r="E57" s="62"/>
      <c r="F57" s="23"/>
      <c r="G57" s="23"/>
      <c r="H57" s="25">
        <v>0</v>
      </c>
      <c r="I57" s="23"/>
      <c r="J57" s="23"/>
      <c r="K57" s="44"/>
      <c r="L57" s="23"/>
      <c r="M57" s="62">
        <v>11705.33</v>
      </c>
      <c r="N57" s="23"/>
      <c r="O57" s="23"/>
      <c r="P57" s="44"/>
      <c r="R57" s="12"/>
      <c r="S57" s="12"/>
      <c r="T57" s="12"/>
    </row>
    <row r="58" spans="2:20" s="8" customFormat="1" x14ac:dyDescent="0.25">
      <c r="C58" s="8" t="s">
        <v>59</v>
      </c>
      <c r="E58" s="62"/>
      <c r="F58" s="23"/>
      <c r="G58" s="23"/>
      <c r="H58" s="25">
        <v>0</v>
      </c>
      <c r="I58" s="23"/>
      <c r="J58" s="23"/>
      <c r="K58" s="44"/>
      <c r="L58" s="23"/>
      <c r="M58" s="62">
        <v>5715.24</v>
      </c>
      <c r="N58" s="23"/>
      <c r="O58" s="23"/>
      <c r="P58" s="44"/>
      <c r="R58" s="12"/>
      <c r="S58" s="12"/>
      <c r="T58" s="12"/>
    </row>
    <row r="59" spans="2:20" s="8" customFormat="1" x14ac:dyDescent="0.25">
      <c r="C59" s="8" t="s">
        <v>66</v>
      </c>
      <c r="E59" s="62"/>
      <c r="F59" s="23"/>
      <c r="G59" s="23"/>
      <c r="H59" s="25">
        <v>0</v>
      </c>
      <c r="I59" s="23"/>
      <c r="J59" s="23"/>
      <c r="K59" s="44"/>
      <c r="L59" s="23"/>
      <c r="M59" s="62">
        <v>1894.24</v>
      </c>
      <c r="N59" s="23"/>
      <c r="O59" s="23"/>
      <c r="P59" s="44"/>
      <c r="R59" s="12"/>
      <c r="S59" s="12"/>
      <c r="T59" s="12"/>
    </row>
    <row r="60" spans="2:20" s="8" customFormat="1" x14ac:dyDescent="0.25">
      <c r="C60" s="8" t="s">
        <v>67</v>
      </c>
      <c r="E60" s="62"/>
      <c r="F60" s="23"/>
      <c r="G60" s="23"/>
      <c r="H60" s="25">
        <v>0</v>
      </c>
      <c r="I60" s="23"/>
      <c r="J60" s="23"/>
      <c r="K60" s="44"/>
      <c r="L60" s="23"/>
      <c r="M60" s="62">
        <v>950.84</v>
      </c>
      <c r="N60" s="23"/>
      <c r="O60" s="23"/>
      <c r="P60" s="44"/>
      <c r="R60" s="12"/>
      <c r="S60" s="12"/>
      <c r="T60" s="12"/>
    </row>
    <row r="61" spans="2:20" s="8" customFormat="1" x14ac:dyDescent="0.25">
      <c r="C61" s="8" t="s">
        <v>40</v>
      </c>
      <c r="E61" s="62"/>
      <c r="F61" s="23"/>
      <c r="G61" s="23"/>
      <c r="H61" s="25">
        <v>0</v>
      </c>
      <c r="I61" s="23"/>
      <c r="J61" s="23"/>
      <c r="K61" s="44"/>
      <c r="L61" s="23"/>
      <c r="M61" s="62">
        <v>0</v>
      </c>
      <c r="N61" s="23"/>
      <c r="O61" s="23"/>
      <c r="P61" s="44"/>
      <c r="R61" s="12"/>
      <c r="S61" s="12"/>
      <c r="T61" s="12"/>
    </row>
    <row r="62" spans="2:20" s="8" customFormat="1" x14ac:dyDescent="0.25">
      <c r="C62" s="8" t="s">
        <v>65</v>
      </c>
      <c r="E62" s="62"/>
      <c r="F62" s="23"/>
      <c r="G62" s="23"/>
      <c r="H62" s="25">
        <v>0</v>
      </c>
      <c r="I62" s="23"/>
      <c r="J62" s="23"/>
      <c r="K62" s="44"/>
      <c r="L62" s="23"/>
      <c r="M62" s="62">
        <v>1575</v>
      </c>
      <c r="N62" s="23"/>
      <c r="O62" s="23"/>
      <c r="P62" s="44"/>
      <c r="R62" s="12"/>
      <c r="S62" s="12"/>
      <c r="T62" s="12"/>
    </row>
    <row r="63" spans="2:20" s="8" customFormat="1" x14ac:dyDescent="0.25">
      <c r="C63" s="8" t="s">
        <v>27</v>
      </c>
      <c r="E63" s="65"/>
      <c r="F63" s="23"/>
      <c r="G63" s="23"/>
      <c r="H63" s="25">
        <v>0</v>
      </c>
      <c r="I63" s="23"/>
      <c r="J63" s="23"/>
      <c r="K63" s="44"/>
      <c r="L63" s="23"/>
      <c r="M63" s="65">
        <v>-240</v>
      </c>
      <c r="N63" s="23"/>
      <c r="O63" s="23"/>
      <c r="P63" s="44"/>
      <c r="R63" s="12"/>
      <c r="S63" s="12"/>
      <c r="T63" s="12"/>
    </row>
    <row r="64" spans="2:20" s="8" customFormat="1" x14ac:dyDescent="0.25">
      <c r="C64" s="8" t="s">
        <v>26</v>
      </c>
      <c r="E64" s="66"/>
      <c r="F64" s="23"/>
      <c r="G64" s="23"/>
      <c r="H64" s="25">
        <v>447</v>
      </c>
      <c r="I64" s="23"/>
      <c r="J64" s="23"/>
      <c r="K64" s="44"/>
      <c r="L64" s="23"/>
      <c r="M64" s="66">
        <v>594.80999999999995</v>
      </c>
      <c r="N64" s="23"/>
      <c r="O64" s="23"/>
      <c r="P64" s="44"/>
      <c r="R64" s="12"/>
      <c r="S64" s="12"/>
      <c r="T64" s="12"/>
    </row>
    <row r="65" spans="1:20" s="8" customFormat="1" x14ac:dyDescent="0.25">
      <c r="C65" s="8" t="s">
        <v>36</v>
      </c>
      <c r="E65" s="66"/>
      <c r="F65" s="23"/>
      <c r="G65" s="23"/>
      <c r="H65" s="25">
        <v>1576</v>
      </c>
      <c r="I65" s="23"/>
      <c r="J65" s="23"/>
      <c r="K65" s="44"/>
      <c r="L65" s="23"/>
      <c r="M65" s="66">
        <v>1412.5</v>
      </c>
      <c r="N65" s="23"/>
      <c r="O65" s="23"/>
      <c r="P65" s="44"/>
      <c r="R65" s="12"/>
      <c r="S65" s="12"/>
      <c r="T65" s="12"/>
    </row>
    <row r="66" spans="1:20" s="8" customFormat="1" x14ac:dyDescent="0.25">
      <c r="C66" s="8" t="s">
        <v>70</v>
      </c>
      <c r="E66" s="74">
        <f>33.28*12</f>
        <v>399.36</v>
      </c>
      <c r="F66" s="23"/>
      <c r="G66" s="23"/>
      <c r="H66" s="25">
        <v>0</v>
      </c>
      <c r="I66" s="23"/>
      <c r="J66" s="23"/>
      <c r="K66" s="44"/>
      <c r="L66" s="23"/>
      <c r="M66" s="66">
        <v>351.22</v>
      </c>
      <c r="N66" s="23"/>
      <c r="O66" s="23"/>
      <c r="P66" s="44"/>
      <c r="R66" s="12"/>
      <c r="S66" s="12"/>
      <c r="T66" s="12"/>
    </row>
    <row r="67" spans="1:20" s="8" customFormat="1" x14ac:dyDescent="0.25">
      <c r="C67" s="8" t="s">
        <v>69</v>
      </c>
      <c r="E67" s="74">
        <v>636</v>
      </c>
      <c r="F67" s="23"/>
      <c r="G67" s="23"/>
      <c r="H67" s="25">
        <v>0</v>
      </c>
      <c r="I67" s="23"/>
      <c r="J67" s="23"/>
      <c r="K67" s="44"/>
      <c r="L67" s="23"/>
      <c r="M67" s="66">
        <v>636</v>
      </c>
      <c r="N67" s="23"/>
      <c r="O67" s="23"/>
      <c r="P67" s="44"/>
      <c r="R67" s="12"/>
      <c r="S67" s="12"/>
      <c r="T67" s="12"/>
    </row>
    <row r="68" spans="1:20" s="8" customFormat="1" x14ac:dyDescent="0.25">
      <c r="C68" s="8" t="s">
        <v>30</v>
      </c>
      <c r="E68" s="67"/>
      <c r="F68" s="23"/>
      <c r="G68" s="23"/>
      <c r="H68" s="26">
        <v>0</v>
      </c>
      <c r="I68" s="23"/>
      <c r="J68" s="23"/>
      <c r="K68" s="44"/>
      <c r="L68" s="23"/>
      <c r="M68" s="67">
        <v>2056.5300000000002</v>
      </c>
      <c r="N68" s="23"/>
      <c r="O68" s="23"/>
      <c r="P68" s="44"/>
      <c r="R68" s="12"/>
      <c r="S68" s="12"/>
      <c r="T68" s="12"/>
    </row>
    <row r="69" spans="1:20" s="8" customFormat="1" x14ac:dyDescent="0.25">
      <c r="E69" s="40"/>
      <c r="F69" s="23"/>
      <c r="G69" s="23"/>
      <c r="H69" s="23"/>
      <c r="I69" s="23"/>
      <c r="J69" s="23"/>
      <c r="K69" s="46"/>
      <c r="L69" s="23"/>
      <c r="M69" s="40"/>
      <c r="N69" s="23"/>
      <c r="O69" s="23"/>
      <c r="P69" s="24"/>
      <c r="R69" s="12"/>
      <c r="S69" s="12"/>
      <c r="T69" s="12"/>
    </row>
    <row r="70" spans="1:20" s="8" customFormat="1" x14ac:dyDescent="0.25">
      <c r="A70" s="4" t="s">
        <v>47</v>
      </c>
      <c r="E70" s="40"/>
      <c r="F70" s="5">
        <f>SUM(E38:E49)-SUM(E50:E69)</f>
        <v>2605.6399999999994</v>
      </c>
      <c r="G70" s="23"/>
      <c r="H70" s="23"/>
      <c r="I70" s="5">
        <f>SUM(H38:H49)-SUM(H51:H69)</f>
        <v>2652</v>
      </c>
      <c r="J70" s="23"/>
      <c r="K70" s="46"/>
      <c r="L70" s="23"/>
      <c r="M70" s="40"/>
      <c r="N70" s="5">
        <f>SUM(M38:M49)-SUM(M51:M69)</f>
        <v>26516.080000000002</v>
      </c>
      <c r="O70" s="23"/>
      <c r="P70" s="5">
        <f>SUM(M38:M49)-SUM(M51:M69)</f>
        <v>26516.080000000002</v>
      </c>
      <c r="R70" s="12"/>
      <c r="S70" s="12"/>
      <c r="T70" s="12"/>
    </row>
    <row r="71" spans="1:20" s="8" customFormat="1" x14ac:dyDescent="0.25">
      <c r="E71" s="40"/>
      <c r="F71" s="23"/>
      <c r="G71" s="23"/>
      <c r="H71" s="23"/>
      <c r="I71" s="23"/>
      <c r="J71" s="23"/>
      <c r="K71" s="24"/>
      <c r="L71" s="23"/>
      <c r="M71" s="40"/>
      <c r="N71" s="23"/>
      <c r="O71" s="23"/>
      <c r="P71" s="24"/>
      <c r="R71" s="12"/>
      <c r="S71" s="12"/>
      <c r="T71" s="12"/>
    </row>
    <row r="72" spans="1:20" s="8" customFormat="1" x14ac:dyDescent="0.25">
      <c r="A72" s="4" t="s">
        <v>46</v>
      </c>
      <c r="E72" s="40"/>
      <c r="F72" s="23"/>
      <c r="G72" s="23"/>
      <c r="H72" s="23"/>
      <c r="I72" s="23"/>
      <c r="J72" s="23"/>
      <c r="K72" s="24"/>
      <c r="L72" s="23"/>
      <c r="M72" s="40"/>
      <c r="N72" s="23"/>
      <c r="O72" s="23"/>
      <c r="P72" s="24"/>
      <c r="R72" s="12"/>
      <c r="S72" s="12"/>
      <c r="T72" s="12"/>
    </row>
    <row r="73" spans="1:20" s="8" customFormat="1" x14ac:dyDescent="0.25">
      <c r="B73" s="4" t="s">
        <v>19</v>
      </c>
      <c r="C73" s="4"/>
      <c r="D73" s="4"/>
      <c r="E73" s="36"/>
      <c r="F73" s="5"/>
      <c r="G73" s="5"/>
      <c r="H73" s="5"/>
      <c r="I73" s="5"/>
      <c r="J73" s="5"/>
      <c r="K73" s="6"/>
      <c r="L73" s="5"/>
      <c r="M73" s="36"/>
      <c r="N73" s="5"/>
      <c r="O73" s="5"/>
      <c r="P73" s="6"/>
      <c r="R73" s="12"/>
      <c r="S73" s="12"/>
      <c r="T73" s="12"/>
    </row>
    <row r="74" spans="1:20" s="8" customFormat="1" x14ac:dyDescent="0.25">
      <c r="C74" s="8" t="s">
        <v>6</v>
      </c>
      <c r="E74" s="37">
        <v>21150</v>
      </c>
      <c r="F74" s="10"/>
      <c r="G74" s="10"/>
      <c r="H74" s="10">
        <v>21150</v>
      </c>
      <c r="I74" s="10"/>
      <c r="J74" s="10"/>
      <c r="K74" s="44">
        <f>+E74-H74</f>
        <v>0</v>
      </c>
      <c r="L74" s="10"/>
      <c r="M74" s="37">
        <v>0</v>
      </c>
      <c r="N74" s="10"/>
      <c r="O74" s="10"/>
      <c r="P74" s="44">
        <f>+E74-M74</f>
        <v>21150</v>
      </c>
      <c r="R74" s="12"/>
      <c r="S74" s="12"/>
      <c r="T74" s="12"/>
    </row>
    <row r="75" spans="1:20" s="8" customFormat="1" x14ac:dyDescent="0.25">
      <c r="C75" s="8" t="s">
        <v>7</v>
      </c>
      <c r="E75" s="39">
        <v>19000</v>
      </c>
      <c r="F75" s="10"/>
      <c r="G75" s="10"/>
      <c r="H75" s="13">
        <f>19000+300</f>
        <v>19300</v>
      </c>
      <c r="I75" s="10"/>
      <c r="J75" s="10"/>
      <c r="K75" s="45">
        <f>-E75+H75</f>
        <v>300</v>
      </c>
      <c r="L75" s="10"/>
      <c r="M75" s="39">
        <v>0</v>
      </c>
      <c r="N75" s="10"/>
      <c r="O75" s="10"/>
      <c r="P75" s="45">
        <f>+M75-E75</f>
        <v>-19000</v>
      </c>
      <c r="R75" s="12"/>
      <c r="S75" s="12"/>
      <c r="T75" s="12"/>
    </row>
    <row r="76" spans="1:20" s="8" customFormat="1" x14ac:dyDescent="0.25">
      <c r="E76" s="37"/>
      <c r="F76" s="10"/>
      <c r="G76" s="10"/>
      <c r="H76" s="10"/>
      <c r="I76" s="10"/>
      <c r="J76" s="10"/>
      <c r="K76" s="11"/>
      <c r="L76" s="10"/>
      <c r="M76" s="37"/>
      <c r="N76" s="10"/>
      <c r="O76" s="10"/>
      <c r="P76" s="11"/>
      <c r="R76" s="12"/>
      <c r="S76" s="12"/>
      <c r="T76" s="12"/>
    </row>
    <row r="77" spans="1:20" s="8" customFormat="1" x14ac:dyDescent="0.25">
      <c r="B77" s="4" t="s">
        <v>13</v>
      </c>
      <c r="C77" s="4"/>
      <c r="D77" s="4"/>
      <c r="E77" s="36"/>
      <c r="F77" s="5">
        <f>+E74-E75</f>
        <v>2150</v>
      </c>
      <c r="G77" s="5"/>
      <c r="H77" s="5"/>
      <c r="I77" s="5">
        <f>+H74-H75</f>
        <v>1850</v>
      </c>
      <c r="J77" s="5"/>
      <c r="K77" s="11">
        <f>SUM(K74:K76)</f>
        <v>300</v>
      </c>
      <c r="L77" s="5"/>
      <c r="M77" s="36"/>
      <c r="N77" s="5">
        <f>+M74-M75</f>
        <v>0</v>
      </c>
      <c r="O77" s="5"/>
      <c r="P77" s="11">
        <f>+F77-N77</f>
        <v>2150</v>
      </c>
      <c r="R77" s="12"/>
      <c r="S77" s="12"/>
      <c r="T77" s="12"/>
    </row>
    <row r="78" spans="1:20" s="8" customFormat="1" x14ac:dyDescent="0.25">
      <c r="B78" s="4"/>
      <c r="C78" s="4"/>
      <c r="D78" s="4"/>
      <c r="E78" s="36"/>
      <c r="F78" s="5"/>
      <c r="G78" s="5"/>
      <c r="H78" s="5"/>
      <c r="I78" s="5"/>
      <c r="J78" s="5"/>
      <c r="K78" s="11"/>
      <c r="L78" s="5"/>
      <c r="M78" s="36"/>
      <c r="N78" s="5"/>
      <c r="O78" s="5"/>
      <c r="P78" s="11"/>
      <c r="R78" s="12"/>
      <c r="S78" s="12"/>
      <c r="T78" s="12"/>
    </row>
    <row r="79" spans="1:20" s="4" customFormat="1" x14ac:dyDescent="0.25">
      <c r="B79" s="4" t="s">
        <v>8</v>
      </c>
      <c r="E79" s="36"/>
      <c r="F79" s="5"/>
      <c r="G79" s="5"/>
      <c r="H79" s="5"/>
      <c r="I79" s="5"/>
      <c r="J79" s="5"/>
      <c r="K79" s="6"/>
      <c r="L79" s="5"/>
      <c r="M79" s="36"/>
      <c r="N79" s="5"/>
      <c r="O79" s="5"/>
      <c r="P79" s="6"/>
      <c r="R79" s="7"/>
      <c r="S79" s="7"/>
      <c r="T79" s="7"/>
    </row>
    <row r="80" spans="1:20" s="8" customFormat="1" x14ac:dyDescent="0.25">
      <c r="C80" s="8" t="s">
        <v>6</v>
      </c>
      <c r="E80" s="37">
        <v>19300</v>
      </c>
      <c r="F80" s="10"/>
      <c r="G80" s="10"/>
      <c r="H80" s="10">
        <v>0</v>
      </c>
      <c r="I80" s="10"/>
      <c r="J80" s="10"/>
      <c r="K80" s="44">
        <f>+E80-H80</f>
        <v>19300</v>
      </c>
      <c r="L80" s="10"/>
      <c r="M80" s="37">
        <v>2480</v>
      </c>
      <c r="N80" s="10"/>
      <c r="O80" s="10"/>
      <c r="P80" s="44">
        <f>+E80-M80</f>
        <v>16820</v>
      </c>
      <c r="R80" s="12"/>
      <c r="S80" s="12"/>
      <c r="T80" s="12"/>
    </row>
    <row r="81" spans="1:20" s="8" customFormat="1" x14ac:dyDescent="0.25">
      <c r="C81" s="8" t="s">
        <v>7</v>
      </c>
      <c r="E81" s="39">
        <v>15905</v>
      </c>
      <c r="F81" s="10"/>
      <c r="G81" s="10"/>
      <c r="H81" s="13">
        <v>0</v>
      </c>
      <c r="I81" s="10"/>
      <c r="J81" s="10"/>
      <c r="K81" s="45">
        <f>-E81+H81</f>
        <v>-15905</v>
      </c>
      <c r="L81" s="10"/>
      <c r="M81" s="39">
        <v>2108</v>
      </c>
      <c r="N81" s="10"/>
      <c r="O81" s="10"/>
      <c r="P81" s="45">
        <f>+M81-E81</f>
        <v>-13797</v>
      </c>
      <c r="R81" s="12"/>
      <c r="S81" s="12"/>
      <c r="T81" s="12"/>
    </row>
    <row r="82" spans="1:20" s="8" customFormat="1" x14ac:dyDescent="0.25">
      <c r="E82" s="37"/>
      <c r="F82" s="10"/>
      <c r="G82" s="10"/>
      <c r="H82" s="10"/>
      <c r="I82" s="10"/>
      <c r="J82" s="10"/>
      <c r="K82" s="11"/>
      <c r="L82" s="10"/>
      <c r="M82" s="37"/>
      <c r="N82" s="10"/>
      <c r="O82" s="10"/>
      <c r="P82" s="11"/>
      <c r="R82" s="12"/>
      <c r="S82" s="12"/>
      <c r="T82" s="12"/>
    </row>
    <row r="83" spans="1:20" s="4" customFormat="1" x14ac:dyDescent="0.25">
      <c r="B83" s="4" t="s">
        <v>9</v>
      </c>
      <c r="E83" s="36"/>
      <c r="F83" s="5">
        <f>+E80-E81</f>
        <v>3395</v>
      </c>
      <c r="G83" s="5"/>
      <c r="H83" s="5"/>
      <c r="I83" s="5">
        <f>+H80-H81</f>
        <v>0</v>
      </c>
      <c r="J83" s="5"/>
      <c r="K83" s="11">
        <f>SUM(K80:K82)</f>
        <v>3395</v>
      </c>
      <c r="L83" s="5"/>
      <c r="M83" s="36"/>
      <c r="N83" s="5">
        <f>+M80-M81</f>
        <v>372</v>
      </c>
      <c r="O83" s="5"/>
      <c r="P83" s="11">
        <f>+F83-N83</f>
        <v>3023</v>
      </c>
      <c r="R83" s="7"/>
      <c r="S83" s="7"/>
      <c r="T83" s="7"/>
    </row>
    <row r="84" spans="1:20" s="8" customFormat="1" x14ac:dyDescent="0.25">
      <c r="E84" s="37"/>
      <c r="F84" s="10"/>
      <c r="G84" s="10"/>
      <c r="H84" s="10"/>
      <c r="I84" s="10"/>
      <c r="J84" s="10"/>
      <c r="K84" s="11"/>
      <c r="L84" s="10"/>
      <c r="M84" s="37"/>
      <c r="N84" s="10"/>
      <c r="O84" s="10"/>
      <c r="P84" s="11"/>
      <c r="R84" s="12"/>
      <c r="S84" s="12"/>
      <c r="T84" s="12"/>
    </row>
    <row r="85" spans="1:20" s="4" customFormat="1" x14ac:dyDescent="0.25">
      <c r="B85" s="4" t="s">
        <v>17</v>
      </c>
      <c r="E85" s="36">
        <v>4000</v>
      </c>
      <c r="F85" s="5"/>
      <c r="G85" s="5"/>
      <c r="H85" s="5"/>
      <c r="I85" s="5"/>
      <c r="J85" s="5"/>
      <c r="K85" s="6"/>
      <c r="L85" s="5"/>
      <c r="M85" s="36"/>
      <c r="N85" s="5"/>
      <c r="O85" s="5"/>
      <c r="P85" s="6"/>
      <c r="R85" s="7"/>
      <c r="S85" s="7"/>
      <c r="T85" s="7"/>
    </row>
    <row r="86" spans="1:20" s="8" customFormat="1" x14ac:dyDescent="0.25">
      <c r="C86" s="8" t="s">
        <v>63</v>
      </c>
      <c r="E86" s="37">
        <v>2125</v>
      </c>
      <c r="F86" s="10"/>
      <c r="G86" s="10"/>
      <c r="H86" s="10">
        <f>5350/2+1375</f>
        <v>4050</v>
      </c>
      <c r="I86" s="10"/>
      <c r="J86" s="10"/>
      <c r="K86" s="44">
        <f>+E86-H86</f>
        <v>-1925</v>
      </c>
      <c r="L86" s="10"/>
      <c r="M86" s="37">
        <v>2775</v>
      </c>
      <c r="N86" s="10"/>
      <c r="O86" s="10"/>
      <c r="P86" s="44">
        <f>+E86-M86</f>
        <v>-650</v>
      </c>
      <c r="R86" s="12"/>
      <c r="S86" s="12"/>
      <c r="T86" s="12"/>
    </row>
    <row r="87" spans="1:20" s="8" customFormat="1" x14ac:dyDescent="0.25">
      <c r="C87" s="8" t="s">
        <v>64</v>
      </c>
      <c r="E87" s="37">
        <v>1000</v>
      </c>
      <c r="F87" s="10"/>
      <c r="G87" s="10"/>
      <c r="H87" s="10">
        <v>0</v>
      </c>
      <c r="I87" s="10"/>
      <c r="J87" s="10"/>
      <c r="K87" s="44">
        <f>+E87-H87</f>
        <v>1000</v>
      </c>
      <c r="L87" s="10"/>
      <c r="M87" s="37">
        <v>600</v>
      </c>
      <c r="N87" s="10"/>
      <c r="O87" s="10"/>
      <c r="P87" s="44">
        <f>+E87-M87</f>
        <v>400</v>
      </c>
      <c r="R87" s="12"/>
      <c r="S87" s="12"/>
      <c r="T87" s="12"/>
    </row>
    <row r="88" spans="1:20" s="8" customFormat="1" x14ac:dyDescent="0.25">
      <c r="C88" s="8" t="s">
        <v>7</v>
      </c>
      <c r="E88" s="39">
        <f>555+2500+200+200+3057</f>
        <v>6512</v>
      </c>
      <c r="F88" s="10"/>
      <c r="G88" s="10"/>
      <c r="H88" s="13">
        <f>310*3+100</f>
        <v>1030</v>
      </c>
      <c r="I88" s="10"/>
      <c r="J88" s="10"/>
      <c r="K88" s="45">
        <f>-E88+H88</f>
        <v>-5482</v>
      </c>
      <c r="L88" s="10"/>
      <c r="M88" s="39">
        <f>44.36+574.65+79.12</f>
        <v>698.13</v>
      </c>
      <c r="N88" s="10"/>
      <c r="O88" s="10"/>
      <c r="P88" s="45">
        <f>+M88-E88</f>
        <v>-5813.87</v>
      </c>
      <c r="R88" s="12"/>
      <c r="S88" s="12"/>
      <c r="T88" s="12"/>
    </row>
    <row r="89" spans="1:20" s="8" customFormat="1" x14ac:dyDescent="0.25">
      <c r="E89" s="37"/>
      <c r="F89" s="10"/>
      <c r="G89" s="10"/>
      <c r="H89" s="10"/>
      <c r="I89" s="10"/>
      <c r="J89" s="10"/>
      <c r="K89" s="11"/>
      <c r="L89" s="10"/>
      <c r="M89" s="37"/>
      <c r="N89" s="10"/>
      <c r="O89" s="10"/>
      <c r="P89" s="11"/>
      <c r="R89" s="12"/>
      <c r="S89" s="12"/>
      <c r="T89" s="12"/>
    </row>
    <row r="90" spans="1:20" s="4" customFormat="1" x14ac:dyDescent="0.25">
      <c r="B90" s="4" t="s">
        <v>9</v>
      </c>
      <c r="E90" s="36"/>
      <c r="F90" s="27">
        <f>SUM(E85:E87)-E88</f>
        <v>613</v>
      </c>
      <c r="G90" s="5"/>
      <c r="H90" s="5"/>
      <c r="I90" s="27">
        <f>SUM(H86:H87)-H88</f>
        <v>3020</v>
      </c>
      <c r="J90" s="5"/>
      <c r="K90" s="14">
        <f>SUM(K86:K89)</f>
        <v>-6407</v>
      </c>
      <c r="L90" s="5"/>
      <c r="M90" s="36"/>
      <c r="N90" s="27">
        <f>SUM(M86:M87)-M88</f>
        <v>2676.87</v>
      </c>
      <c r="O90" s="5"/>
      <c r="P90" s="14">
        <f>+F90-N90</f>
        <v>-2063.87</v>
      </c>
      <c r="R90" s="7"/>
      <c r="S90" s="7"/>
      <c r="T90" s="7"/>
    </row>
    <row r="91" spans="1:20" s="8" customFormat="1" x14ac:dyDescent="0.25">
      <c r="E91" s="37"/>
      <c r="F91" s="10"/>
      <c r="G91" s="10"/>
      <c r="H91" s="10"/>
      <c r="I91" s="10"/>
      <c r="J91" s="10"/>
      <c r="K91" s="11"/>
      <c r="L91" s="10"/>
      <c r="M91" s="37"/>
      <c r="N91" s="10"/>
      <c r="O91" s="10"/>
      <c r="P91" s="11"/>
      <c r="R91" s="12"/>
      <c r="S91" s="12"/>
      <c r="T91" s="12"/>
    </row>
    <row r="92" spans="1:20" s="4" customFormat="1" ht="15.75" thickBot="1" x14ac:dyDescent="0.3">
      <c r="A92" s="4" t="s">
        <v>57</v>
      </c>
      <c r="E92" s="36"/>
      <c r="F92" s="28">
        <f>SUM(F34:F91)</f>
        <v>-16092.36</v>
      </c>
      <c r="G92" s="15"/>
      <c r="H92" s="15"/>
      <c r="I92" s="28">
        <f>SUM(I34:I91)-1</f>
        <v>326</v>
      </c>
      <c r="J92" s="15"/>
      <c r="K92" s="29">
        <f>+F92-I92</f>
        <v>-16418.36</v>
      </c>
      <c r="L92" s="15"/>
      <c r="M92" s="36"/>
      <c r="N92" s="28">
        <f>SUM(N34:N91)</f>
        <v>29564.95</v>
      </c>
      <c r="O92" s="15"/>
      <c r="P92" s="29">
        <f>+F92-N92</f>
        <v>-45657.31</v>
      </c>
      <c r="R92" s="7"/>
      <c r="S92" s="7"/>
      <c r="T92" s="7"/>
    </row>
    <row r="93" spans="1:20" s="8" customFormat="1" ht="15.75" thickTop="1" x14ac:dyDescent="0.25">
      <c r="E93" s="37"/>
      <c r="F93" s="10"/>
      <c r="G93" s="10"/>
      <c r="H93" s="10"/>
      <c r="I93" s="10"/>
      <c r="J93" s="10"/>
      <c r="K93" s="11"/>
      <c r="L93" s="10"/>
      <c r="M93" s="37"/>
      <c r="N93" s="10"/>
      <c r="O93" s="10"/>
      <c r="P93" s="11"/>
      <c r="R93" s="12"/>
      <c r="S93" s="12"/>
      <c r="T93" s="12"/>
    </row>
    <row r="94" spans="1:20" s="8" customFormat="1" x14ac:dyDescent="0.25">
      <c r="E94" s="44" t="s">
        <v>79</v>
      </c>
      <c r="F94" s="11">
        <v>-2461</v>
      </c>
      <c r="G94" s="11"/>
      <c r="H94" s="11" t="s">
        <v>55</v>
      </c>
      <c r="I94" s="11">
        <v>326</v>
      </c>
      <c r="J94" s="10"/>
      <c r="K94" s="11"/>
      <c r="L94" s="10"/>
      <c r="M94" s="44" t="s">
        <v>43</v>
      </c>
      <c r="N94" s="11">
        <v>29565.21</v>
      </c>
      <c r="O94" s="10"/>
      <c r="P94" s="11"/>
      <c r="R94" s="12"/>
      <c r="S94" s="12"/>
      <c r="T94" s="12"/>
    </row>
    <row r="95" spans="1:20" s="8" customFormat="1" x14ac:dyDescent="0.25">
      <c r="E95" s="44"/>
      <c r="F95" s="11"/>
      <c r="G95" s="11"/>
      <c r="H95" s="11"/>
      <c r="I95" s="11"/>
      <c r="J95" s="10"/>
      <c r="K95" s="11"/>
      <c r="L95" s="10"/>
      <c r="M95" s="44"/>
      <c r="N95" s="11"/>
      <c r="O95" s="10"/>
      <c r="P95" s="11"/>
      <c r="R95" s="12"/>
      <c r="S95" s="12"/>
      <c r="T95" s="12"/>
    </row>
    <row r="96" spans="1:20" s="8" customFormat="1" x14ac:dyDescent="0.25">
      <c r="E96" s="68"/>
      <c r="F96" s="11">
        <f>+F92-F94</f>
        <v>-13631.36</v>
      </c>
      <c r="G96" s="11"/>
      <c r="H96" s="11" t="s">
        <v>56</v>
      </c>
      <c r="I96" s="11">
        <f>+I92-I94</f>
        <v>0</v>
      </c>
      <c r="J96" s="10"/>
      <c r="K96" s="11"/>
      <c r="L96" s="10"/>
      <c r="M96" s="68"/>
      <c r="N96" s="11">
        <f>+N92-N94</f>
        <v>-0.25999999999839929</v>
      </c>
      <c r="O96" s="10"/>
      <c r="P96" s="11"/>
      <c r="R96" s="12"/>
      <c r="S96" s="12"/>
      <c r="T96" s="12"/>
    </row>
    <row r="99" spans="3:16" s="33" customFormat="1" ht="12" x14ac:dyDescent="0.2">
      <c r="D99" s="33" t="s">
        <v>81</v>
      </c>
      <c r="E99" s="70">
        <f>+E10+E11+E38+E74+E80+E85+E86+E87</f>
        <v>83014</v>
      </c>
      <c r="F99" s="32"/>
      <c r="G99" s="32"/>
      <c r="H99" s="32"/>
      <c r="I99" s="32"/>
      <c r="J99" s="32"/>
      <c r="K99" s="32"/>
      <c r="L99" s="32"/>
      <c r="M99" s="70"/>
      <c r="N99" s="32"/>
      <c r="O99" s="32"/>
      <c r="P99" s="32"/>
    </row>
    <row r="100" spans="3:16" s="33" customFormat="1" ht="12" x14ac:dyDescent="0.2">
      <c r="E100" s="70"/>
      <c r="F100" s="32"/>
      <c r="G100" s="32"/>
      <c r="H100" s="32"/>
      <c r="I100" s="32"/>
      <c r="J100" s="32"/>
      <c r="K100" s="32"/>
      <c r="L100" s="32"/>
      <c r="M100" s="70"/>
      <c r="N100" s="32"/>
      <c r="O100" s="32"/>
      <c r="P100" s="32"/>
    </row>
    <row r="101" spans="3:16" s="33" customFormat="1" ht="12" x14ac:dyDescent="0.2">
      <c r="D101" s="33" t="s">
        <v>79</v>
      </c>
      <c r="E101" s="71">
        <v>87414</v>
      </c>
      <c r="F101" s="32"/>
      <c r="G101" s="32"/>
      <c r="H101" s="32"/>
      <c r="I101" s="32"/>
      <c r="J101" s="32"/>
      <c r="K101" s="32"/>
      <c r="L101" s="32"/>
      <c r="M101" s="70"/>
      <c r="N101" s="32"/>
      <c r="O101" s="32"/>
      <c r="P101" s="32"/>
    </row>
    <row r="102" spans="3:16" s="33" customFormat="1" ht="12" x14ac:dyDescent="0.2">
      <c r="E102" s="70"/>
      <c r="F102" s="32"/>
      <c r="G102" s="32"/>
      <c r="H102" s="32"/>
      <c r="I102" s="32"/>
      <c r="J102" s="32"/>
      <c r="K102" s="32"/>
      <c r="L102" s="32"/>
      <c r="M102" s="70"/>
      <c r="N102" s="32"/>
      <c r="O102" s="32"/>
      <c r="P102" s="32"/>
    </row>
    <row r="103" spans="3:16" s="33" customFormat="1" ht="12" x14ac:dyDescent="0.2">
      <c r="D103" s="33" t="s">
        <v>2</v>
      </c>
      <c r="E103" s="70">
        <f>+E99-E101</f>
        <v>-4400</v>
      </c>
      <c r="F103" s="32"/>
      <c r="G103" s="32"/>
      <c r="H103" s="32"/>
      <c r="I103" s="32"/>
      <c r="J103" s="32"/>
      <c r="K103" s="32"/>
      <c r="L103" s="32"/>
      <c r="M103" s="70"/>
      <c r="N103" s="32"/>
      <c r="O103" s="32"/>
      <c r="P103" s="32"/>
    </row>
    <row r="104" spans="3:16" s="33" customFormat="1" ht="12" x14ac:dyDescent="0.2">
      <c r="E104" s="70"/>
      <c r="F104" s="32"/>
      <c r="G104" s="32"/>
      <c r="H104" s="32"/>
      <c r="I104" s="32"/>
      <c r="J104" s="32"/>
      <c r="K104" s="32"/>
      <c r="L104" s="32"/>
      <c r="M104" s="70"/>
      <c r="N104" s="32"/>
      <c r="O104" s="32"/>
      <c r="P104" s="32"/>
    </row>
    <row r="105" spans="3:16" s="33" customFormat="1" ht="12" x14ac:dyDescent="0.2">
      <c r="D105" s="33" t="s">
        <v>82</v>
      </c>
      <c r="E105" s="70">
        <f>SUM(E18:E31,E50,E75,E81,E88)</f>
        <v>98071</v>
      </c>
      <c r="F105" s="32"/>
      <c r="G105" s="32"/>
      <c r="H105" s="32"/>
      <c r="I105" s="32"/>
      <c r="J105" s="32"/>
      <c r="K105" s="32"/>
      <c r="L105" s="32"/>
      <c r="M105" s="70"/>
      <c r="N105" s="32"/>
      <c r="O105" s="32"/>
      <c r="P105" s="32"/>
    </row>
    <row r="106" spans="3:16" s="33" customFormat="1" ht="12" x14ac:dyDescent="0.2">
      <c r="E106" s="70"/>
      <c r="F106" s="32"/>
      <c r="G106" s="32"/>
      <c r="H106" s="32"/>
      <c r="I106" s="32"/>
      <c r="J106" s="32"/>
      <c r="K106" s="32"/>
      <c r="L106" s="32"/>
      <c r="M106" s="70"/>
      <c r="N106" s="32"/>
      <c r="O106" s="32"/>
      <c r="P106" s="32"/>
    </row>
    <row r="107" spans="3:16" s="33" customFormat="1" ht="12" x14ac:dyDescent="0.2">
      <c r="D107" s="33" t="s">
        <v>79</v>
      </c>
      <c r="E107" s="71">
        <v>89875</v>
      </c>
      <c r="F107" s="32"/>
      <c r="G107" s="32"/>
      <c r="H107" s="32"/>
      <c r="I107" s="32"/>
      <c r="J107" s="32"/>
      <c r="K107" s="32"/>
      <c r="L107" s="32"/>
      <c r="M107" s="70"/>
      <c r="N107" s="32"/>
      <c r="O107" s="32"/>
      <c r="P107" s="32"/>
    </row>
    <row r="108" spans="3:16" s="33" customFormat="1" ht="12" x14ac:dyDescent="0.2">
      <c r="E108" s="70"/>
      <c r="F108" s="32"/>
      <c r="G108" s="32"/>
      <c r="H108" s="32"/>
      <c r="I108" s="32"/>
      <c r="J108" s="32"/>
      <c r="K108" s="32"/>
      <c r="L108" s="32"/>
      <c r="M108" s="70"/>
      <c r="N108" s="32"/>
      <c r="O108" s="32"/>
      <c r="P108" s="32"/>
    </row>
    <row r="109" spans="3:16" s="33" customFormat="1" ht="12" x14ac:dyDescent="0.2">
      <c r="D109" s="33" t="s">
        <v>2</v>
      </c>
      <c r="E109" s="70">
        <f>+E105-E107</f>
        <v>8196</v>
      </c>
      <c r="F109" s="32"/>
      <c r="G109" s="32"/>
      <c r="H109" s="32"/>
      <c r="I109" s="32"/>
      <c r="J109" s="32"/>
      <c r="K109" s="32"/>
      <c r="L109" s="32"/>
      <c r="M109" s="70"/>
      <c r="N109" s="32"/>
      <c r="O109" s="32"/>
      <c r="P109" s="32"/>
    </row>
    <row r="111" spans="3:16" x14ac:dyDescent="0.25">
      <c r="E111" s="70"/>
    </row>
    <row r="112" spans="3:16" x14ac:dyDescent="0.25">
      <c r="C112" s="30" t="s">
        <v>83</v>
      </c>
    </row>
  </sheetData>
  <mergeCells count="4">
    <mergeCell ref="E7:F7"/>
    <mergeCell ref="H7:I7"/>
    <mergeCell ref="M7:N7"/>
    <mergeCell ref="H6:I6"/>
  </mergeCells>
  <printOptions horizontalCentered="1"/>
  <pageMargins left="0.7" right="0.7" top="0.75" bottom="0.75" header="0.3" footer="0.3"/>
  <pageSetup scale="89" fitToHeight="0" orientation="landscape" r:id="rId1"/>
  <rowBreaks count="2" manualBreakCount="2">
    <brk id="36" max="18" man="1"/>
    <brk id="66" max="15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3E11E-1D4E-4488-B12D-5CA500070547}">
  <sheetPr>
    <outlinePr summaryBelow="0" summaryRight="0"/>
  </sheetPr>
  <dimension ref="A1:AN149"/>
  <sheetViews>
    <sheetView workbookViewId="0">
      <pane xSplit="2" ySplit="3" topLeftCell="E32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ColWidth="12.5703125" defaultRowHeight="15.75" customHeight="1" outlineLevelRow="1" outlineLevelCol="1" x14ac:dyDescent="0.2"/>
  <cols>
    <col min="1" max="2" width="25" style="79" customWidth="1"/>
    <col min="3" max="4" width="7.140625" style="79" hidden="1" customWidth="1"/>
    <col min="5" max="6" width="7.5703125" style="79" bestFit="1" customWidth="1"/>
    <col min="7" max="7" width="8.28515625" style="79" customWidth="1"/>
    <col min="8" max="8" width="7.140625" style="79" customWidth="1"/>
    <col min="9" max="10" width="7.140625" style="79" hidden="1" customWidth="1"/>
    <col min="11" max="11" width="7.140625" style="79" customWidth="1"/>
    <col min="12" max="12" width="7.42578125" style="79" customWidth="1"/>
    <col min="13" max="13" width="8.42578125" style="79" customWidth="1" outlineLevel="1"/>
    <col min="14" max="14" width="8.42578125" style="108" customWidth="1"/>
    <col min="15" max="15" width="7.140625" style="79" hidden="1" customWidth="1"/>
    <col min="16" max="17" width="12.5703125" style="79"/>
    <col min="18" max="22" width="3.42578125" style="79" hidden="1" customWidth="1"/>
    <col min="23" max="23" width="11.5703125" style="79" hidden="1" customWidth="1"/>
    <col min="24" max="24" width="40.7109375" style="79" hidden="1" customWidth="1"/>
    <col min="25" max="25" width="6.28515625" style="79" hidden="1" customWidth="1"/>
    <col min="26" max="26" width="20.7109375" style="79" hidden="1" customWidth="1"/>
    <col min="27" max="16384" width="12.5703125" style="79"/>
  </cols>
  <sheetData>
    <row r="1" spans="1:40" ht="25.5" x14ac:dyDescent="0.2">
      <c r="A1" s="75" t="s">
        <v>84</v>
      </c>
      <c r="B1" s="76"/>
      <c r="C1" s="177" t="s">
        <v>6</v>
      </c>
      <c r="D1" s="178"/>
      <c r="E1" s="178"/>
      <c r="F1" s="178"/>
      <c r="G1" s="178"/>
      <c r="H1" s="179"/>
      <c r="I1" s="177" t="s">
        <v>35</v>
      </c>
      <c r="J1" s="178"/>
      <c r="K1" s="178"/>
      <c r="L1" s="178"/>
      <c r="M1" s="178"/>
      <c r="N1" s="178"/>
      <c r="O1" s="179"/>
      <c r="P1" s="77" t="s">
        <v>13</v>
      </c>
      <c r="Q1" s="77" t="s">
        <v>85</v>
      </c>
      <c r="R1" s="180" t="s">
        <v>86</v>
      </c>
      <c r="S1" s="180" t="s">
        <v>87</v>
      </c>
      <c r="T1" s="180" t="s">
        <v>88</v>
      </c>
      <c r="U1" s="180" t="s">
        <v>89</v>
      </c>
      <c r="V1" s="170" t="s">
        <v>90</v>
      </c>
      <c r="W1" s="171" t="s">
        <v>91</v>
      </c>
      <c r="X1" s="172" t="s">
        <v>92</v>
      </c>
      <c r="Y1" s="173" t="s">
        <v>93</v>
      </c>
      <c r="Z1" s="168"/>
      <c r="AA1" s="133" t="s">
        <v>236</v>
      </c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</row>
    <row r="2" spans="1:40" ht="12.75" x14ac:dyDescent="0.2">
      <c r="A2" s="80" t="s">
        <v>94</v>
      </c>
      <c r="B2" s="81" t="s">
        <v>95</v>
      </c>
      <c r="C2" s="174" t="s">
        <v>21</v>
      </c>
      <c r="D2" s="168"/>
      <c r="E2" s="174" t="s">
        <v>61</v>
      </c>
      <c r="F2" s="168"/>
      <c r="G2" s="174">
        <v>2022</v>
      </c>
      <c r="H2" s="175"/>
      <c r="I2" s="174" t="s">
        <v>21</v>
      </c>
      <c r="J2" s="168"/>
      <c r="K2" s="174" t="s">
        <v>61</v>
      </c>
      <c r="L2" s="168"/>
      <c r="M2" s="176">
        <v>2022</v>
      </c>
      <c r="N2" s="168"/>
      <c r="O2" s="175"/>
      <c r="P2" s="77"/>
      <c r="Q2" s="77"/>
      <c r="R2" s="168"/>
      <c r="S2" s="168"/>
      <c r="T2" s="168"/>
      <c r="U2" s="168"/>
      <c r="V2" s="168"/>
      <c r="W2" s="168"/>
      <c r="X2" s="168"/>
      <c r="Y2" s="167" t="s">
        <v>96</v>
      </c>
      <c r="Z2" s="168"/>
      <c r="AA2" s="129" t="s">
        <v>237</v>
      </c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</row>
    <row r="3" spans="1:40" ht="27" x14ac:dyDescent="0.2">
      <c r="A3" s="80" t="s">
        <v>97</v>
      </c>
      <c r="B3" s="76"/>
      <c r="C3" s="82" t="s">
        <v>78</v>
      </c>
      <c r="D3" s="82" t="s">
        <v>98</v>
      </c>
      <c r="E3" s="82" t="s">
        <v>78</v>
      </c>
      <c r="F3" s="82" t="s">
        <v>98</v>
      </c>
      <c r="G3" s="82" t="s">
        <v>78</v>
      </c>
      <c r="H3" s="82" t="s">
        <v>98</v>
      </c>
      <c r="I3" s="82" t="s">
        <v>78</v>
      </c>
      <c r="J3" s="82" t="s">
        <v>98</v>
      </c>
      <c r="K3" s="83" t="s">
        <v>78</v>
      </c>
      <c r="L3" s="82" t="s">
        <v>98</v>
      </c>
      <c r="M3" s="84" t="s">
        <v>99</v>
      </c>
      <c r="N3" s="85" t="s">
        <v>78</v>
      </c>
      <c r="O3" s="86" t="s">
        <v>98</v>
      </c>
      <c r="P3" s="77"/>
      <c r="Q3" s="77"/>
      <c r="R3" s="168"/>
      <c r="S3" s="168"/>
      <c r="T3" s="168"/>
      <c r="U3" s="168"/>
      <c r="V3" s="168"/>
      <c r="W3" s="168"/>
      <c r="X3" s="168"/>
      <c r="Y3" s="78" t="s">
        <v>100</v>
      </c>
      <c r="Z3" s="78" t="s">
        <v>101</v>
      </c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1:40" ht="12.75" x14ac:dyDescent="0.2">
      <c r="A4" s="87" t="s">
        <v>102</v>
      </c>
      <c r="B4" s="88"/>
      <c r="C4" s="89"/>
      <c r="D4" s="89"/>
      <c r="E4" s="90"/>
      <c r="F4" s="90"/>
      <c r="G4" s="90"/>
      <c r="H4" s="91"/>
      <c r="I4" s="90"/>
      <c r="J4" s="90"/>
      <c r="K4" s="90"/>
      <c r="L4" s="90"/>
      <c r="M4" s="90"/>
      <c r="N4" s="92"/>
      <c r="O4" s="91"/>
      <c r="P4" s="90"/>
      <c r="Q4" s="90"/>
      <c r="R4" s="93"/>
      <c r="S4" s="93"/>
      <c r="T4" s="93"/>
      <c r="U4" s="93"/>
      <c r="V4" s="93"/>
      <c r="W4" s="93"/>
      <c r="X4" s="94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</row>
    <row r="5" spans="1:40" ht="12.75" x14ac:dyDescent="0.2">
      <c r="A5" s="95"/>
      <c r="B5" s="96" t="s">
        <v>103</v>
      </c>
      <c r="C5" s="90">
        <v>5000</v>
      </c>
      <c r="D5" s="90"/>
      <c r="E5" s="90">
        <v>2500</v>
      </c>
      <c r="F5" s="90">
        <v>2500</v>
      </c>
      <c r="G5" s="90">
        <v>4000</v>
      </c>
      <c r="H5" s="91"/>
      <c r="I5" s="90"/>
      <c r="J5" s="90"/>
      <c r="K5" s="90"/>
      <c r="L5" s="90"/>
      <c r="M5" s="97"/>
      <c r="N5" s="92"/>
      <c r="O5" s="91"/>
      <c r="P5" s="90"/>
      <c r="Q5" s="90"/>
      <c r="R5" s="98"/>
      <c r="S5" s="98"/>
      <c r="T5" s="98"/>
      <c r="U5" s="98" t="s">
        <v>104</v>
      </c>
      <c r="V5" s="98"/>
      <c r="W5" s="98" t="s">
        <v>105</v>
      </c>
      <c r="X5" s="99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</row>
    <row r="6" spans="1:40" ht="12.75" x14ac:dyDescent="0.2">
      <c r="A6" s="95"/>
      <c r="B6" s="96" t="s">
        <v>106</v>
      </c>
      <c r="C6" s="90"/>
      <c r="D6" s="90"/>
      <c r="E6" s="90"/>
      <c r="F6" s="90"/>
      <c r="G6" s="90"/>
      <c r="H6" s="91"/>
      <c r="I6" s="90"/>
      <c r="J6" s="90"/>
      <c r="K6" s="90"/>
      <c r="L6" s="90"/>
      <c r="M6" s="97"/>
      <c r="N6" s="92"/>
      <c r="O6" s="91"/>
      <c r="P6" s="90"/>
      <c r="Q6" s="90"/>
      <c r="R6" s="98"/>
      <c r="S6" s="98"/>
      <c r="T6" s="98"/>
      <c r="U6" s="98"/>
      <c r="V6" s="98"/>
      <c r="W6" s="98" t="s">
        <v>105</v>
      </c>
      <c r="X6" s="99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</row>
    <row r="7" spans="1:40" ht="12.75" x14ac:dyDescent="0.2">
      <c r="A7" s="95"/>
      <c r="B7" s="96" t="s">
        <v>107</v>
      </c>
      <c r="C7" s="90">
        <v>2500</v>
      </c>
      <c r="D7" s="90"/>
      <c r="E7" s="90">
        <v>2000</v>
      </c>
      <c r="F7" s="90"/>
      <c r="G7" s="90">
        <v>2000</v>
      </c>
      <c r="H7" s="91"/>
      <c r="I7" s="90"/>
      <c r="J7" s="90"/>
      <c r="K7" s="90"/>
      <c r="L7" s="90"/>
      <c r="M7" s="97"/>
      <c r="N7" s="92"/>
      <c r="O7" s="91"/>
      <c r="P7" s="90"/>
      <c r="Q7" s="90"/>
      <c r="R7" s="98"/>
      <c r="S7" s="98"/>
      <c r="T7" s="98"/>
      <c r="U7" s="98" t="s">
        <v>104</v>
      </c>
      <c r="V7" s="98"/>
      <c r="W7" s="98" t="s">
        <v>108</v>
      </c>
      <c r="X7" s="99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</row>
    <row r="8" spans="1:40" ht="12.75" x14ac:dyDescent="0.2">
      <c r="A8" s="95"/>
      <c r="B8" s="96" t="s">
        <v>109</v>
      </c>
      <c r="C8" s="90"/>
      <c r="D8" s="90"/>
      <c r="E8" s="90"/>
      <c r="F8" s="90"/>
      <c r="G8" s="90">
        <v>1000</v>
      </c>
      <c r="H8" s="91"/>
      <c r="I8" s="90"/>
      <c r="J8" s="90"/>
      <c r="K8" s="90"/>
      <c r="L8" s="90"/>
      <c r="M8" s="97"/>
      <c r="N8" s="92"/>
      <c r="O8" s="91"/>
      <c r="P8" s="90"/>
      <c r="Q8" s="90"/>
      <c r="R8" s="98"/>
      <c r="S8" s="98"/>
      <c r="T8" s="98"/>
      <c r="U8" s="98" t="s">
        <v>104</v>
      </c>
      <c r="V8" s="98"/>
      <c r="W8" s="98" t="s">
        <v>108</v>
      </c>
      <c r="X8" s="99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</row>
    <row r="9" spans="1:40" ht="12.75" x14ac:dyDescent="0.2">
      <c r="A9" s="95"/>
      <c r="B9" s="96" t="s">
        <v>110</v>
      </c>
      <c r="C9" s="90">
        <v>2000</v>
      </c>
      <c r="D9" s="90"/>
      <c r="E9" s="90">
        <v>2000</v>
      </c>
      <c r="F9" s="90">
        <v>2000</v>
      </c>
      <c r="G9" s="90">
        <v>2000</v>
      </c>
      <c r="H9" s="91"/>
      <c r="I9" s="90"/>
      <c r="J9" s="90"/>
      <c r="K9" s="90"/>
      <c r="L9" s="90"/>
      <c r="M9" s="97"/>
      <c r="N9" s="92"/>
      <c r="O9" s="91"/>
      <c r="P9" s="90"/>
      <c r="Q9" s="90"/>
      <c r="R9" s="98"/>
      <c r="S9" s="98"/>
      <c r="T9" s="98"/>
      <c r="U9" s="98" t="s">
        <v>104</v>
      </c>
      <c r="V9" s="98"/>
      <c r="W9" s="98" t="s">
        <v>108</v>
      </c>
      <c r="X9" s="99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</row>
    <row r="10" spans="1:40" ht="12.75" x14ac:dyDescent="0.2">
      <c r="A10" s="95"/>
      <c r="B10" s="96" t="s">
        <v>111</v>
      </c>
      <c r="C10" s="90"/>
      <c r="D10" s="90"/>
      <c r="E10" s="90"/>
      <c r="F10" s="90"/>
      <c r="G10" s="90">
        <v>400</v>
      </c>
      <c r="H10" s="91"/>
      <c r="I10" s="90"/>
      <c r="J10" s="90"/>
      <c r="K10" s="90"/>
      <c r="L10" s="90"/>
      <c r="M10" s="97"/>
      <c r="N10" s="92"/>
      <c r="O10" s="91"/>
      <c r="P10" s="90"/>
      <c r="Q10" s="90"/>
      <c r="R10" s="98" t="s">
        <v>112</v>
      </c>
      <c r="S10" s="98"/>
      <c r="T10" s="98" t="s">
        <v>108</v>
      </c>
      <c r="U10" s="98" t="s">
        <v>104</v>
      </c>
      <c r="V10" s="98"/>
      <c r="W10" s="98"/>
      <c r="X10" s="99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</row>
    <row r="11" spans="1:40" ht="12.75" x14ac:dyDescent="0.2">
      <c r="A11" s="95" t="s">
        <v>113</v>
      </c>
      <c r="B11" s="96" t="s">
        <v>24</v>
      </c>
      <c r="C11" s="90"/>
      <c r="D11" s="90"/>
      <c r="E11" s="90"/>
      <c r="F11" s="90"/>
      <c r="G11" s="90">
        <v>6539.0399999999991</v>
      </c>
      <c r="H11" s="91"/>
      <c r="I11" s="90"/>
      <c r="J11" s="90"/>
      <c r="K11" s="90"/>
      <c r="L11" s="90"/>
      <c r="M11" s="97"/>
      <c r="N11" s="92">
        <f>G11*18.5/11.95</f>
        <v>10123.199999999999</v>
      </c>
      <c r="O11" s="91"/>
      <c r="P11" s="90"/>
      <c r="Q11" s="90"/>
      <c r="R11" s="98"/>
      <c r="S11" s="98"/>
      <c r="T11" s="98"/>
      <c r="U11" s="98"/>
      <c r="V11" s="98"/>
      <c r="W11" s="98"/>
      <c r="X11" s="99"/>
      <c r="Y11" s="95"/>
      <c r="Z11" s="95"/>
      <c r="AA11" s="116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</row>
    <row r="12" spans="1:40" ht="12.75" x14ac:dyDescent="0.2">
      <c r="A12" s="95"/>
      <c r="B12" s="96" t="s">
        <v>114</v>
      </c>
      <c r="C12" s="90"/>
      <c r="D12" s="90"/>
      <c r="E12" s="90"/>
      <c r="F12" s="90"/>
      <c r="G12" s="90"/>
      <c r="H12" s="91"/>
      <c r="I12" s="90"/>
      <c r="J12" s="90"/>
      <c r="K12" s="90"/>
      <c r="L12" s="90"/>
      <c r="M12" s="97"/>
      <c r="N12" s="92"/>
      <c r="O12" s="91"/>
      <c r="P12" s="90"/>
      <c r="Q12" s="90"/>
      <c r="R12" s="98"/>
      <c r="S12" s="98"/>
      <c r="T12" s="98"/>
      <c r="U12" s="98" t="s">
        <v>115</v>
      </c>
      <c r="V12" s="98"/>
      <c r="W12" s="98"/>
      <c r="X12" s="99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</row>
    <row r="13" spans="1:40" ht="12.75" x14ac:dyDescent="0.2">
      <c r="A13" s="95"/>
      <c r="B13" s="96" t="s">
        <v>116</v>
      </c>
      <c r="C13" s="90"/>
      <c r="D13" s="90"/>
      <c r="E13" s="90"/>
      <c r="F13" s="90"/>
      <c r="G13" s="90"/>
      <c r="H13" s="91"/>
      <c r="I13" s="90"/>
      <c r="J13" s="90"/>
      <c r="K13" s="90"/>
      <c r="L13" s="90"/>
      <c r="M13" s="97"/>
      <c r="N13" s="92"/>
      <c r="O13" s="91"/>
      <c r="P13" s="90"/>
      <c r="Q13" s="90"/>
      <c r="R13" s="98"/>
      <c r="S13" s="98"/>
      <c r="T13" s="98"/>
      <c r="U13" s="98" t="s">
        <v>104</v>
      </c>
      <c r="V13" s="98"/>
      <c r="W13" s="98"/>
      <c r="X13" s="99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</row>
    <row r="14" spans="1:40" ht="12.75" x14ac:dyDescent="0.2">
      <c r="A14" s="95"/>
      <c r="B14" s="96" t="s">
        <v>117</v>
      </c>
      <c r="C14" s="90"/>
      <c r="D14" s="90"/>
      <c r="E14" s="90">
        <v>1000</v>
      </c>
      <c r="F14" s="90">
        <v>0</v>
      </c>
      <c r="G14" s="90">
        <v>1000</v>
      </c>
      <c r="H14" s="91"/>
      <c r="I14" s="90"/>
      <c r="J14" s="90"/>
      <c r="K14" s="90"/>
      <c r="L14" s="90"/>
      <c r="M14" s="97"/>
      <c r="N14" s="92">
        <v>0</v>
      </c>
      <c r="O14" s="91"/>
      <c r="P14" s="90"/>
      <c r="Q14" s="90"/>
      <c r="R14" s="98" t="s">
        <v>118</v>
      </c>
      <c r="S14" s="98"/>
      <c r="T14" s="98"/>
      <c r="U14" s="98" t="s">
        <v>115</v>
      </c>
      <c r="V14" s="98"/>
      <c r="W14" s="98"/>
      <c r="X14" s="99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</row>
    <row r="15" spans="1:40" ht="12.75" x14ac:dyDescent="0.2">
      <c r="A15" s="95"/>
      <c r="B15" s="96" t="s">
        <v>119</v>
      </c>
      <c r="C15" s="90"/>
      <c r="D15" s="90"/>
      <c r="E15" s="90"/>
      <c r="F15" s="90"/>
      <c r="G15" s="90">
        <v>500</v>
      </c>
      <c r="H15" s="91"/>
      <c r="I15" s="90"/>
      <c r="J15" s="90"/>
      <c r="K15" s="90"/>
      <c r="L15" s="90"/>
      <c r="M15" s="97"/>
      <c r="N15" s="92">
        <v>3675</v>
      </c>
      <c r="O15" s="91"/>
      <c r="P15" s="90"/>
      <c r="Q15" s="90"/>
      <c r="R15" s="98"/>
      <c r="S15" s="98"/>
      <c r="T15" s="98"/>
      <c r="U15" s="98" t="s">
        <v>104</v>
      </c>
      <c r="V15" s="98"/>
      <c r="W15" s="98" t="s">
        <v>108</v>
      </c>
      <c r="X15" s="99" t="s">
        <v>120</v>
      </c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</row>
    <row r="16" spans="1:40" ht="12.75" x14ac:dyDescent="0.2">
      <c r="A16" s="95"/>
      <c r="B16" s="96" t="s">
        <v>121</v>
      </c>
      <c r="C16" s="90"/>
      <c r="D16" s="90"/>
      <c r="E16" s="90"/>
      <c r="F16" s="90"/>
      <c r="G16" s="90"/>
      <c r="H16" s="91"/>
      <c r="I16" s="90"/>
      <c r="J16" s="90"/>
      <c r="K16" s="90"/>
      <c r="L16" s="90"/>
      <c r="M16" s="97"/>
      <c r="N16" s="92"/>
      <c r="O16" s="91"/>
      <c r="P16" s="90"/>
      <c r="Q16" s="90"/>
      <c r="R16" s="98"/>
      <c r="S16" s="98"/>
      <c r="T16" s="98"/>
      <c r="U16" s="98" t="s">
        <v>122</v>
      </c>
      <c r="V16" s="98"/>
      <c r="W16" s="98"/>
      <c r="X16" s="99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</row>
    <row r="17" spans="1:40" ht="12.75" x14ac:dyDescent="0.2">
      <c r="A17" s="95"/>
      <c r="B17" s="101"/>
      <c r="C17" s="102">
        <f t="shared" ref="C17:L17" si="0">SUM(C5:C16)</f>
        <v>9500</v>
      </c>
      <c r="D17" s="102">
        <f t="shared" si="0"/>
        <v>0</v>
      </c>
      <c r="E17" s="102">
        <f t="shared" si="0"/>
        <v>7500</v>
      </c>
      <c r="F17" s="102">
        <f t="shared" si="0"/>
        <v>4500</v>
      </c>
      <c r="G17" s="103">
        <f t="shared" si="0"/>
        <v>17439.04</v>
      </c>
      <c r="H17" s="104">
        <f t="shared" si="0"/>
        <v>0</v>
      </c>
      <c r="I17" s="102">
        <f t="shared" si="0"/>
        <v>0</v>
      </c>
      <c r="J17" s="102">
        <f t="shared" si="0"/>
        <v>0</v>
      </c>
      <c r="K17" s="102">
        <f t="shared" si="0"/>
        <v>0</v>
      </c>
      <c r="L17" s="102">
        <f t="shared" si="0"/>
        <v>0</v>
      </c>
      <c r="M17" s="105"/>
      <c r="N17" s="106">
        <f t="shared" ref="N17:O17" si="1">SUM(N5:N16)</f>
        <v>13798.199999999999</v>
      </c>
      <c r="O17" s="104">
        <f t="shared" si="1"/>
        <v>0</v>
      </c>
      <c r="P17" s="164">
        <f>G17-N17</f>
        <v>3640.840000000002</v>
      </c>
      <c r="Q17" s="90"/>
      <c r="R17" s="98"/>
      <c r="S17" s="98"/>
      <c r="T17" s="98"/>
      <c r="U17" s="98"/>
      <c r="V17" s="98"/>
      <c r="W17" s="98"/>
      <c r="X17" s="99"/>
      <c r="Y17" s="95"/>
      <c r="Z17" s="95"/>
      <c r="AA17" s="95" t="s">
        <v>123</v>
      </c>
      <c r="AB17" s="95"/>
      <c r="AC17" s="100" t="s">
        <v>124</v>
      </c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</row>
    <row r="18" spans="1:40" ht="12.75" x14ac:dyDescent="0.2">
      <c r="A18" s="87" t="s">
        <v>125</v>
      </c>
      <c r="B18" s="88"/>
      <c r="C18" s="89"/>
      <c r="D18" s="89"/>
      <c r="E18" s="90"/>
      <c r="F18" s="90"/>
      <c r="G18" s="90"/>
      <c r="H18" s="91"/>
      <c r="I18" s="90"/>
      <c r="J18" s="90"/>
      <c r="K18" s="90"/>
      <c r="L18" s="90"/>
      <c r="M18" s="90"/>
      <c r="N18" s="92"/>
      <c r="O18" s="91"/>
      <c r="P18" s="90"/>
      <c r="Q18" s="90"/>
      <c r="R18" s="93"/>
      <c r="S18" s="93"/>
      <c r="T18" s="93"/>
      <c r="U18" s="93"/>
      <c r="V18" s="93"/>
      <c r="W18" s="93"/>
      <c r="X18" s="94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</row>
    <row r="19" spans="1:40" ht="12.75" outlineLevel="1" x14ac:dyDescent="0.2">
      <c r="A19" s="95"/>
      <c r="B19" s="107" t="s">
        <v>126</v>
      </c>
      <c r="C19" s="90"/>
      <c r="D19" s="90"/>
      <c r="E19" s="90"/>
      <c r="F19" s="90"/>
      <c r="G19" s="90"/>
      <c r="H19" s="91"/>
      <c r="I19" s="90"/>
      <c r="J19" s="90"/>
      <c r="K19" s="90"/>
      <c r="L19" s="90"/>
      <c r="M19" s="97">
        <v>18642</v>
      </c>
      <c r="O19" s="91"/>
      <c r="P19" s="90"/>
      <c r="Q19" s="90"/>
      <c r="R19" s="98"/>
      <c r="S19" s="98"/>
      <c r="T19" s="98"/>
      <c r="U19" s="98" t="s">
        <v>115</v>
      </c>
      <c r="V19" s="109" t="s">
        <v>108</v>
      </c>
      <c r="W19" s="98" t="s">
        <v>115</v>
      </c>
      <c r="X19" s="99" t="s">
        <v>127</v>
      </c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</row>
    <row r="20" spans="1:40" ht="12.75" outlineLevel="1" x14ac:dyDescent="0.2">
      <c r="A20" s="95"/>
      <c r="B20" s="107" t="s">
        <v>128</v>
      </c>
      <c r="C20" s="90"/>
      <c r="D20" s="90"/>
      <c r="E20" s="90"/>
      <c r="F20" s="90"/>
      <c r="G20" s="90"/>
      <c r="H20" s="91"/>
      <c r="I20" s="90"/>
      <c r="J20" s="90"/>
      <c r="K20" s="110"/>
      <c r="L20" s="90"/>
      <c r="M20" s="97">
        <f>M19*0.086</f>
        <v>1603.2119999999998</v>
      </c>
      <c r="O20" s="91"/>
      <c r="P20" s="90"/>
      <c r="Q20" s="90"/>
      <c r="R20" s="98"/>
      <c r="S20" s="98"/>
      <c r="T20" s="98"/>
      <c r="U20" s="98"/>
      <c r="V20" s="98"/>
      <c r="W20" s="98"/>
      <c r="X20" s="99" t="s">
        <v>129</v>
      </c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</row>
    <row r="21" spans="1:40" ht="12.75" outlineLevel="1" x14ac:dyDescent="0.2">
      <c r="A21" s="95"/>
      <c r="B21" s="111" t="s">
        <v>130</v>
      </c>
      <c r="C21" s="90"/>
      <c r="D21" s="90"/>
      <c r="E21" s="90"/>
      <c r="F21" s="90"/>
      <c r="G21" s="90"/>
      <c r="H21" s="91"/>
      <c r="I21" s="90"/>
      <c r="J21" s="90"/>
      <c r="K21" s="90">
        <v>400</v>
      </c>
      <c r="L21" s="90"/>
      <c r="M21" s="112">
        <v>400</v>
      </c>
      <c r="O21" s="91"/>
      <c r="P21" s="90"/>
      <c r="Q21" s="90"/>
      <c r="R21" s="98" t="s">
        <v>131</v>
      </c>
      <c r="S21" s="98"/>
      <c r="T21" s="98" t="s">
        <v>108</v>
      </c>
      <c r="U21" s="98" t="s">
        <v>132</v>
      </c>
      <c r="V21" s="98"/>
      <c r="W21" s="98"/>
      <c r="X21" s="99"/>
      <c r="Y21" s="95"/>
      <c r="Z21" s="95"/>
      <c r="AA21" s="95" t="s">
        <v>133</v>
      </c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</row>
    <row r="22" spans="1:40" ht="12.75" outlineLevel="1" x14ac:dyDescent="0.2">
      <c r="A22" s="95"/>
      <c r="B22" s="107" t="s">
        <v>134</v>
      </c>
      <c r="C22" s="90"/>
      <c r="D22" s="90"/>
      <c r="E22" s="90"/>
      <c r="F22" s="90"/>
      <c r="G22" s="90"/>
      <c r="H22" s="91"/>
      <c r="I22" s="90"/>
      <c r="J22" s="90"/>
      <c r="K22" s="90"/>
      <c r="L22" s="90"/>
      <c r="M22" s="97">
        <v>800</v>
      </c>
      <c r="O22" s="91"/>
      <c r="P22" s="90"/>
      <c r="Q22" s="90"/>
      <c r="R22" s="98"/>
      <c r="S22" s="98"/>
      <c r="T22" s="98"/>
      <c r="U22" s="98"/>
      <c r="V22" s="98"/>
      <c r="W22" s="98"/>
      <c r="X22" s="99" t="s">
        <v>135</v>
      </c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</row>
    <row r="23" spans="1:40" ht="12.75" collapsed="1" x14ac:dyDescent="0.2">
      <c r="A23" s="95"/>
      <c r="B23" s="101" t="s">
        <v>136</v>
      </c>
      <c r="C23" s="90"/>
      <c r="D23" s="90"/>
      <c r="E23" s="90"/>
      <c r="F23" s="90"/>
      <c r="G23" s="90"/>
      <c r="H23" s="91"/>
      <c r="I23" s="90"/>
      <c r="J23" s="90"/>
      <c r="K23" s="90"/>
      <c r="L23" s="90"/>
      <c r="M23" s="97"/>
      <c r="N23" s="113">
        <f>SUM(M19:M22)</f>
        <v>21445.212</v>
      </c>
      <c r="O23" s="91"/>
      <c r="P23" s="90"/>
      <c r="Q23" s="90"/>
      <c r="R23" s="98"/>
      <c r="S23" s="98"/>
      <c r="T23" s="98"/>
      <c r="U23" s="98"/>
      <c r="V23" s="98"/>
      <c r="W23" s="98"/>
      <c r="X23" s="99"/>
      <c r="Y23" s="95"/>
      <c r="Z23" s="95"/>
      <c r="AA23" s="95" t="s">
        <v>137</v>
      </c>
      <c r="AB23" s="95"/>
      <c r="AC23" s="95"/>
      <c r="AD23" s="90"/>
      <c r="AE23" s="95"/>
      <c r="AF23" s="95"/>
      <c r="AG23" s="95"/>
      <c r="AH23" s="95"/>
      <c r="AI23" s="95"/>
      <c r="AJ23" s="95"/>
      <c r="AK23" s="95"/>
      <c r="AL23" s="95"/>
      <c r="AM23" s="95"/>
      <c r="AN23" s="95"/>
    </row>
    <row r="24" spans="1:40" ht="12.75" hidden="1" outlineLevel="1" x14ac:dyDescent="0.2">
      <c r="A24" s="95"/>
      <c r="B24" s="107" t="s">
        <v>138</v>
      </c>
      <c r="C24" s="90"/>
      <c r="D24" s="90"/>
      <c r="E24" s="90"/>
      <c r="F24" s="90"/>
      <c r="G24" s="90"/>
      <c r="H24" s="91"/>
      <c r="I24" s="90"/>
      <c r="J24" s="90"/>
      <c r="K24" s="90">
        <v>209</v>
      </c>
      <c r="L24" s="90">
        <v>209</v>
      </c>
      <c r="M24" s="97">
        <v>209</v>
      </c>
      <c r="O24" s="91"/>
      <c r="P24" s="90"/>
      <c r="Q24" s="90"/>
      <c r="R24" s="98"/>
      <c r="S24" s="98"/>
      <c r="T24" s="98"/>
      <c r="U24" s="98" t="s">
        <v>132</v>
      </c>
      <c r="V24" s="98"/>
      <c r="W24" s="98"/>
      <c r="X24" s="99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</row>
    <row r="25" spans="1:40" ht="12.75" hidden="1" outlineLevel="1" x14ac:dyDescent="0.2">
      <c r="A25" s="95"/>
      <c r="B25" s="107" t="s">
        <v>139</v>
      </c>
      <c r="C25" s="90"/>
      <c r="D25" s="90"/>
      <c r="E25" s="90"/>
      <c r="F25" s="90"/>
      <c r="G25" s="90"/>
      <c r="H25" s="91"/>
      <c r="I25" s="90"/>
      <c r="J25" s="90"/>
      <c r="K25" s="90">
        <v>336</v>
      </c>
      <c r="L25" s="90">
        <v>336</v>
      </c>
      <c r="M25" s="97">
        <v>336</v>
      </c>
      <c r="O25" s="91"/>
      <c r="P25" s="90"/>
      <c r="Q25" s="90"/>
      <c r="R25" s="98"/>
      <c r="S25" s="98"/>
      <c r="T25" s="98"/>
      <c r="U25" s="98" t="s">
        <v>132</v>
      </c>
      <c r="V25" s="98"/>
      <c r="W25" s="98"/>
      <c r="X25" s="99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</row>
    <row r="26" spans="1:40" ht="12.75" hidden="1" outlineLevel="1" x14ac:dyDescent="0.2">
      <c r="A26" s="95"/>
      <c r="B26" s="107" t="s">
        <v>140</v>
      </c>
      <c r="C26" s="90"/>
      <c r="D26" s="90"/>
      <c r="E26" s="90"/>
      <c r="F26" s="90"/>
      <c r="G26" s="90"/>
      <c r="H26" s="91"/>
      <c r="I26" s="90"/>
      <c r="J26" s="90"/>
      <c r="K26" s="90">
        <v>0</v>
      </c>
      <c r="L26" s="90"/>
      <c r="M26" s="97">
        <v>240</v>
      </c>
      <c r="O26" s="91"/>
      <c r="P26" s="90"/>
      <c r="Q26" s="90"/>
      <c r="R26" s="98"/>
      <c r="S26" s="98"/>
      <c r="T26" s="98"/>
      <c r="U26" s="98" t="s">
        <v>132</v>
      </c>
      <c r="V26" s="98"/>
      <c r="W26" s="98"/>
      <c r="X26" s="99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</row>
    <row r="27" spans="1:40" ht="12.75" hidden="1" outlineLevel="1" x14ac:dyDescent="0.2">
      <c r="A27" s="95"/>
      <c r="B27" s="111" t="s">
        <v>141</v>
      </c>
      <c r="C27" s="90"/>
      <c r="D27" s="90"/>
      <c r="E27" s="90"/>
      <c r="F27" s="90"/>
      <c r="G27" s="90"/>
      <c r="H27" s="91"/>
      <c r="I27" s="90"/>
      <c r="J27" s="90"/>
      <c r="K27" s="90"/>
      <c r="L27" s="90"/>
      <c r="M27" s="97">
        <v>0</v>
      </c>
      <c r="O27" s="91"/>
      <c r="P27" s="90"/>
      <c r="Q27" s="90"/>
      <c r="R27" s="98"/>
      <c r="S27" s="98"/>
      <c r="T27" s="98"/>
      <c r="U27" s="98"/>
      <c r="V27" s="98"/>
      <c r="W27" s="98"/>
      <c r="X27" s="99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</row>
    <row r="28" spans="1:40" ht="12.75" hidden="1" outlineLevel="1" x14ac:dyDescent="0.2">
      <c r="A28" s="95"/>
      <c r="B28" s="107" t="s">
        <v>142</v>
      </c>
      <c r="C28" s="90"/>
      <c r="D28" s="90"/>
      <c r="E28" s="90"/>
      <c r="F28" s="90"/>
      <c r="G28" s="90"/>
      <c r="H28" s="91"/>
      <c r="I28" s="90"/>
      <c r="J28" s="90"/>
      <c r="K28" s="90">
        <v>240</v>
      </c>
      <c r="L28" s="90">
        <v>269</v>
      </c>
      <c r="M28" s="97">
        <f>12*22.4</f>
        <v>268.79999999999995</v>
      </c>
      <c r="O28" s="91"/>
      <c r="P28" s="90"/>
      <c r="Q28" s="90"/>
      <c r="R28" s="98"/>
      <c r="S28" s="98"/>
      <c r="T28" s="98"/>
      <c r="U28" s="98" t="s">
        <v>132</v>
      </c>
      <c r="V28" s="98"/>
      <c r="W28" s="98"/>
      <c r="X28" s="99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</row>
    <row r="29" spans="1:40" ht="12.75" x14ac:dyDescent="0.2">
      <c r="A29" s="95"/>
      <c r="B29" s="101" t="s">
        <v>143</v>
      </c>
      <c r="C29" s="90"/>
      <c r="D29" s="90"/>
      <c r="E29" s="90"/>
      <c r="F29" s="90"/>
      <c r="G29" s="90"/>
      <c r="H29" s="91"/>
      <c r="I29" s="90"/>
      <c r="J29" s="90"/>
      <c r="K29" s="90"/>
      <c r="L29" s="90"/>
      <c r="M29" s="97"/>
      <c r="N29" s="114">
        <f>SUM(M24:M28)</f>
        <v>1053.8</v>
      </c>
      <c r="O29" s="91"/>
      <c r="P29" s="90"/>
      <c r="Q29" s="90"/>
      <c r="R29" s="98"/>
      <c r="S29" s="98"/>
      <c r="T29" s="98"/>
      <c r="U29" s="98"/>
      <c r="V29" s="98"/>
      <c r="W29" s="98"/>
      <c r="X29" s="99"/>
      <c r="Y29" s="95"/>
      <c r="Z29" s="95"/>
      <c r="AA29" s="95" t="s">
        <v>144</v>
      </c>
      <c r="AB29" s="95"/>
      <c r="AC29" s="95"/>
      <c r="AD29" s="90"/>
      <c r="AE29" s="95"/>
      <c r="AF29" s="95"/>
      <c r="AG29" s="95"/>
      <c r="AH29" s="95"/>
      <c r="AI29" s="95"/>
      <c r="AJ29" s="95"/>
      <c r="AK29" s="95"/>
      <c r="AL29" s="95"/>
      <c r="AM29" s="95"/>
      <c r="AN29" s="95"/>
    </row>
    <row r="30" spans="1:40" ht="12.75" x14ac:dyDescent="0.2">
      <c r="A30" s="95"/>
      <c r="B30" s="115" t="s">
        <v>18</v>
      </c>
      <c r="C30" s="90"/>
      <c r="D30" s="90"/>
      <c r="E30" s="90"/>
      <c r="F30" s="90"/>
      <c r="G30" s="90"/>
      <c r="H30" s="91"/>
      <c r="I30" s="90"/>
      <c r="J30" s="90"/>
      <c r="K30" s="90">
        <v>0</v>
      </c>
      <c r="L30" s="90"/>
      <c r="M30" s="97"/>
      <c r="N30" s="113">
        <v>1200</v>
      </c>
      <c r="O30" s="91"/>
      <c r="P30" s="90"/>
      <c r="Q30" s="90"/>
      <c r="R30" s="98" t="s">
        <v>145</v>
      </c>
      <c r="S30" s="98"/>
      <c r="T30" s="98"/>
      <c r="U30" s="98" t="s">
        <v>146</v>
      </c>
      <c r="V30" s="98"/>
      <c r="W30" s="98"/>
      <c r="X30" s="99"/>
      <c r="Y30" s="95"/>
      <c r="Z30" s="95"/>
      <c r="AA30" s="116" t="s">
        <v>147</v>
      </c>
      <c r="AB30" s="95"/>
      <c r="AC30" s="95"/>
      <c r="AD30" s="90"/>
      <c r="AE30" s="95"/>
      <c r="AF30" s="95"/>
      <c r="AG30" s="95"/>
      <c r="AH30" s="95"/>
      <c r="AI30" s="95"/>
      <c r="AJ30" s="95"/>
      <c r="AK30" s="95"/>
      <c r="AL30" s="95"/>
      <c r="AM30" s="95"/>
      <c r="AN30" s="95"/>
    </row>
    <row r="31" spans="1:40" ht="12.75" x14ac:dyDescent="0.2">
      <c r="A31" s="95"/>
      <c r="B31" s="96" t="s">
        <v>148</v>
      </c>
      <c r="C31" s="90"/>
      <c r="D31" s="90"/>
      <c r="E31" s="90"/>
      <c r="F31" s="90"/>
      <c r="G31" s="90"/>
      <c r="H31" s="91"/>
      <c r="I31" s="90"/>
      <c r="J31" s="90"/>
      <c r="K31" s="90">
        <v>300</v>
      </c>
      <c r="L31" s="90"/>
      <c r="M31" s="97"/>
      <c r="N31" s="113">
        <v>300</v>
      </c>
      <c r="O31" s="91"/>
      <c r="P31" s="90"/>
      <c r="Q31" s="90"/>
      <c r="R31" s="98"/>
      <c r="S31" s="98"/>
      <c r="T31" s="98"/>
      <c r="U31" s="98" t="s">
        <v>146</v>
      </c>
      <c r="V31" s="98"/>
      <c r="W31" s="98"/>
      <c r="X31" s="99"/>
      <c r="Y31" s="95"/>
      <c r="Z31" s="95"/>
      <c r="AA31" s="95" t="s">
        <v>149</v>
      </c>
      <c r="AB31" s="95"/>
      <c r="AC31" s="95"/>
      <c r="AD31" s="90"/>
      <c r="AE31" s="95"/>
      <c r="AF31" s="95"/>
      <c r="AG31" s="95"/>
      <c r="AH31" s="95"/>
      <c r="AI31" s="95"/>
      <c r="AJ31" s="95"/>
      <c r="AK31" s="95"/>
      <c r="AL31" s="95"/>
      <c r="AM31" s="95"/>
      <c r="AN31" s="95"/>
    </row>
    <row r="32" spans="1:40" ht="12.75" x14ac:dyDescent="0.2">
      <c r="A32" s="95"/>
      <c r="B32" s="101" t="s">
        <v>150</v>
      </c>
      <c r="C32" s="90"/>
      <c r="D32" s="90"/>
      <c r="E32" s="90"/>
      <c r="F32" s="90"/>
      <c r="G32" s="90"/>
      <c r="H32" s="91"/>
      <c r="I32" s="90"/>
      <c r="J32" s="90"/>
      <c r="K32" s="90">
        <v>1856</v>
      </c>
      <c r="L32" s="90"/>
      <c r="M32" s="97"/>
      <c r="N32" s="92"/>
      <c r="O32" s="91"/>
      <c r="P32" s="90"/>
      <c r="Q32" s="90"/>
      <c r="R32" s="98"/>
      <c r="S32" s="98"/>
      <c r="T32" s="98"/>
      <c r="U32" s="98" t="s">
        <v>115</v>
      </c>
      <c r="V32" s="98"/>
      <c r="W32" s="98"/>
      <c r="X32" s="99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</row>
    <row r="33" spans="1:40" ht="12.75" x14ac:dyDescent="0.2">
      <c r="A33" s="95"/>
      <c r="B33" s="101" t="s">
        <v>151</v>
      </c>
      <c r="C33" s="90"/>
      <c r="D33" s="90"/>
      <c r="E33" s="90"/>
      <c r="F33" s="90"/>
      <c r="G33" s="90"/>
      <c r="H33" s="91"/>
      <c r="I33" s="90">
        <v>0</v>
      </c>
      <c r="J33" s="90"/>
      <c r="K33" s="90">
        <v>0</v>
      </c>
      <c r="L33" s="90"/>
      <c r="M33" s="97"/>
      <c r="N33" s="92">
        <v>0</v>
      </c>
      <c r="O33" s="91"/>
      <c r="P33" s="90"/>
      <c r="Q33" s="90"/>
      <c r="R33" s="98" t="s">
        <v>152</v>
      </c>
      <c r="S33" s="98"/>
      <c r="T33" s="98"/>
      <c r="U33" s="98" t="s">
        <v>146</v>
      </c>
      <c r="V33" s="98"/>
      <c r="W33" s="98"/>
      <c r="X33" s="99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</row>
    <row r="34" spans="1:40" ht="12.75" x14ac:dyDescent="0.2">
      <c r="A34" s="95"/>
      <c r="B34" s="101" t="s">
        <v>153</v>
      </c>
      <c r="C34" s="90"/>
      <c r="D34" s="90"/>
      <c r="E34" s="90"/>
      <c r="F34" s="90"/>
      <c r="G34" s="90"/>
      <c r="H34" s="91"/>
      <c r="I34" s="90"/>
      <c r="J34" s="90"/>
      <c r="K34" s="90">
        <v>180</v>
      </c>
      <c r="L34" s="90">
        <v>271</v>
      </c>
      <c r="M34" s="97"/>
      <c r="N34" s="113">
        <f>(4*16.95 + 156) * 1.21</f>
        <v>270.798</v>
      </c>
      <c r="O34" s="91"/>
      <c r="P34" s="90"/>
      <c r="Q34" s="90"/>
      <c r="R34" s="98"/>
      <c r="S34" s="98"/>
      <c r="T34" s="98"/>
      <c r="U34" s="98" t="s">
        <v>132</v>
      </c>
      <c r="V34" s="98"/>
      <c r="W34" s="98"/>
      <c r="X34" s="99"/>
      <c r="Y34" s="95"/>
      <c r="Z34" s="95"/>
      <c r="AA34" s="95" t="s">
        <v>149</v>
      </c>
      <c r="AB34" s="95"/>
      <c r="AC34" s="95"/>
      <c r="AD34" s="90"/>
      <c r="AE34" s="95"/>
      <c r="AF34" s="95"/>
      <c r="AG34" s="95"/>
      <c r="AH34" s="95"/>
      <c r="AI34" s="95"/>
      <c r="AJ34" s="95"/>
      <c r="AK34" s="95"/>
      <c r="AL34" s="95"/>
      <c r="AM34" s="95"/>
      <c r="AN34" s="95"/>
    </row>
    <row r="35" spans="1:40" ht="12.75" x14ac:dyDescent="0.2">
      <c r="A35" s="95"/>
      <c r="B35" s="101" t="s">
        <v>154</v>
      </c>
      <c r="C35" s="90"/>
      <c r="D35" s="90"/>
      <c r="E35" s="90"/>
      <c r="F35" s="90"/>
      <c r="G35" s="90"/>
      <c r="H35" s="91"/>
      <c r="I35" s="90"/>
      <c r="J35" s="90"/>
      <c r="K35" s="90">
        <v>450</v>
      </c>
      <c r="L35" s="90">
        <v>600</v>
      </c>
      <c r="M35" s="97"/>
      <c r="N35" s="113">
        <v>600</v>
      </c>
      <c r="O35" s="91"/>
      <c r="P35" s="90"/>
      <c r="Q35" s="90"/>
      <c r="R35" s="98"/>
      <c r="S35" s="98"/>
      <c r="T35" s="98"/>
      <c r="U35" s="98"/>
      <c r="V35" s="98"/>
      <c r="W35" s="98"/>
      <c r="X35" s="99"/>
      <c r="Y35" s="95"/>
      <c r="Z35" s="95"/>
      <c r="AA35" s="95" t="s">
        <v>149</v>
      </c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</row>
    <row r="36" spans="1:40" ht="12.75" x14ac:dyDescent="0.2">
      <c r="A36" s="95"/>
      <c r="B36" s="101"/>
      <c r="C36" s="90"/>
      <c r="D36" s="90"/>
      <c r="E36" s="90"/>
      <c r="F36" s="90"/>
      <c r="G36" s="90"/>
      <c r="H36" s="91"/>
      <c r="I36" s="90"/>
      <c r="J36" s="90"/>
      <c r="K36" s="90"/>
      <c r="L36" s="90"/>
      <c r="M36" s="97"/>
      <c r="N36" s="92"/>
      <c r="O36" s="91"/>
      <c r="P36" s="90"/>
      <c r="Q36" s="90"/>
      <c r="R36" s="98"/>
      <c r="S36" s="98"/>
      <c r="T36" s="98"/>
      <c r="U36" s="98"/>
      <c r="V36" s="98"/>
      <c r="W36" s="98"/>
      <c r="X36" s="99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</row>
    <row r="37" spans="1:40" ht="12.75" x14ac:dyDescent="0.2">
      <c r="A37" s="95"/>
      <c r="B37" s="96" t="s">
        <v>155</v>
      </c>
      <c r="C37" s="90"/>
      <c r="D37" s="90"/>
      <c r="E37" s="90"/>
      <c r="F37" s="90"/>
      <c r="G37" s="90"/>
      <c r="H37" s="91"/>
      <c r="I37" s="90"/>
      <c r="J37" s="90"/>
      <c r="K37" s="90">
        <v>500</v>
      </c>
      <c r="L37" s="90"/>
      <c r="M37" s="117"/>
      <c r="N37" s="118">
        <v>0</v>
      </c>
      <c r="O37" s="119"/>
      <c r="P37" s="120"/>
      <c r="Q37" s="120"/>
      <c r="R37" s="120" t="s">
        <v>156</v>
      </c>
      <c r="S37" s="120"/>
      <c r="T37" s="120"/>
      <c r="U37" s="98" t="s">
        <v>132</v>
      </c>
      <c r="V37" s="98"/>
      <c r="W37" s="98"/>
      <c r="X37" s="99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</row>
    <row r="38" spans="1:40" ht="12.75" x14ac:dyDescent="0.2">
      <c r="A38" s="95"/>
      <c r="B38" s="96" t="s">
        <v>157</v>
      </c>
      <c r="C38" s="121"/>
      <c r="D38" s="121"/>
      <c r="E38" s="90"/>
      <c r="F38" s="90"/>
      <c r="G38" s="90"/>
      <c r="H38" s="91"/>
      <c r="I38" s="90"/>
      <c r="J38" s="90"/>
      <c r="K38" s="90"/>
      <c r="L38" s="90"/>
      <c r="M38" s="117"/>
      <c r="N38" s="122">
        <v>476</v>
      </c>
      <c r="O38" s="119"/>
      <c r="P38" s="120"/>
      <c r="Q38" s="120"/>
      <c r="R38" s="120"/>
      <c r="S38" s="120"/>
      <c r="T38" s="120"/>
      <c r="U38" s="98"/>
      <c r="V38" s="98"/>
      <c r="W38" s="98"/>
      <c r="X38" s="99"/>
      <c r="Y38" s="95"/>
      <c r="Z38" s="95"/>
      <c r="AA38" s="95" t="s">
        <v>149</v>
      </c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</row>
    <row r="39" spans="1:40" ht="12.75" outlineLevel="1" x14ac:dyDescent="0.2">
      <c r="A39" s="95"/>
      <c r="B39" s="111" t="s">
        <v>158</v>
      </c>
      <c r="C39" s="90"/>
      <c r="D39" s="90"/>
      <c r="E39" s="90"/>
      <c r="F39" s="90"/>
      <c r="G39" s="90"/>
      <c r="H39" s="91"/>
      <c r="I39" s="90"/>
      <c r="J39" s="90"/>
      <c r="K39" s="90">
        <v>150</v>
      </c>
      <c r="L39" s="90"/>
      <c r="M39" s="97">
        <v>150</v>
      </c>
      <c r="O39" s="91"/>
      <c r="P39" s="90"/>
      <c r="Q39" s="90"/>
      <c r="R39" s="98"/>
      <c r="S39" s="98"/>
      <c r="T39" s="98"/>
      <c r="U39" s="98" t="s">
        <v>132</v>
      </c>
      <c r="V39" s="98"/>
      <c r="W39" s="98"/>
      <c r="X39" s="99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</row>
    <row r="40" spans="1:40" ht="12.75" outlineLevel="1" x14ac:dyDescent="0.2">
      <c r="A40" s="95"/>
      <c r="B40" s="111" t="s">
        <v>159</v>
      </c>
      <c r="C40" s="90"/>
      <c r="D40" s="90"/>
      <c r="E40" s="90"/>
      <c r="F40" s="90"/>
      <c r="G40" s="90"/>
      <c r="H40" s="91"/>
      <c r="I40" s="90"/>
      <c r="J40" s="90"/>
      <c r="K40" s="90">
        <v>50</v>
      </c>
      <c r="L40" s="90"/>
      <c r="M40" s="97">
        <v>50</v>
      </c>
      <c r="O40" s="91"/>
      <c r="P40" s="90"/>
      <c r="Q40" s="90"/>
      <c r="R40" s="98"/>
      <c r="S40" s="98"/>
      <c r="T40" s="98"/>
      <c r="U40" s="98"/>
      <c r="V40" s="98"/>
      <c r="W40" s="98"/>
      <c r="X40" s="99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</row>
    <row r="41" spans="1:40" ht="12.75" outlineLevel="1" x14ac:dyDescent="0.2">
      <c r="A41" s="95"/>
      <c r="B41" s="111" t="s">
        <v>160</v>
      </c>
      <c r="C41" s="90"/>
      <c r="D41" s="90"/>
      <c r="E41" s="90"/>
      <c r="F41" s="90"/>
      <c r="G41" s="90"/>
      <c r="H41" s="91"/>
      <c r="I41" s="90"/>
      <c r="J41" s="90"/>
      <c r="K41" s="90">
        <v>0</v>
      </c>
      <c r="L41" s="90"/>
      <c r="M41" s="97">
        <v>0</v>
      </c>
      <c r="O41" s="91"/>
      <c r="P41" s="90"/>
      <c r="Q41" s="90"/>
      <c r="R41" s="98"/>
      <c r="S41" s="98"/>
      <c r="T41" s="98"/>
      <c r="U41" s="98"/>
      <c r="V41" s="98"/>
      <c r="W41" s="98"/>
      <c r="X41" s="99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</row>
    <row r="42" spans="1:40" ht="12.75" outlineLevel="1" x14ac:dyDescent="0.2">
      <c r="A42" s="95"/>
      <c r="B42" s="111" t="s">
        <v>161</v>
      </c>
      <c r="C42" s="90"/>
      <c r="D42" s="90"/>
      <c r="E42" s="90"/>
      <c r="F42" s="90"/>
      <c r="G42" s="90"/>
      <c r="H42" s="91"/>
      <c r="I42" s="90"/>
      <c r="J42" s="90"/>
      <c r="K42" s="90">
        <v>50</v>
      </c>
      <c r="L42" s="90"/>
      <c r="M42" s="97">
        <v>75</v>
      </c>
      <c r="O42" s="91"/>
      <c r="P42" s="90"/>
      <c r="Q42" s="90"/>
      <c r="R42" s="98"/>
      <c r="S42" s="98"/>
      <c r="T42" s="98"/>
      <c r="U42" s="98"/>
      <c r="V42" s="98"/>
      <c r="W42" s="98"/>
      <c r="X42" s="99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</row>
    <row r="43" spans="1:40" ht="12.75" outlineLevel="1" x14ac:dyDescent="0.2">
      <c r="A43" s="95"/>
      <c r="B43" s="111" t="s">
        <v>162</v>
      </c>
      <c r="C43" s="90"/>
      <c r="D43" s="90"/>
      <c r="E43" s="90"/>
      <c r="F43" s="90"/>
      <c r="G43" s="90"/>
      <c r="H43" s="91"/>
      <c r="I43" s="90"/>
      <c r="J43" s="90"/>
      <c r="K43" s="90">
        <v>95</v>
      </c>
      <c r="L43" s="90"/>
      <c r="M43" s="97">
        <v>95</v>
      </c>
      <c r="O43" s="91"/>
      <c r="P43" s="90"/>
      <c r="Q43" s="90"/>
      <c r="R43" s="98"/>
      <c r="S43" s="98"/>
      <c r="T43" s="98"/>
      <c r="U43" s="98"/>
      <c r="V43" s="98"/>
      <c r="W43" s="98"/>
      <c r="X43" s="99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</row>
    <row r="44" spans="1:40" ht="12.75" outlineLevel="1" x14ac:dyDescent="0.2">
      <c r="A44" s="95"/>
      <c r="B44" s="111" t="s">
        <v>163</v>
      </c>
      <c r="C44" s="90"/>
      <c r="D44" s="90"/>
      <c r="E44" s="90"/>
      <c r="F44" s="90"/>
      <c r="G44" s="90"/>
      <c r="H44" s="91"/>
      <c r="I44" s="90"/>
      <c r="J44" s="90"/>
      <c r="K44" s="90">
        <v>0</v>
      </c>
      <c r="L44" s="90"/>
      <c r="M44" s="97">
        <v>0</v>
      </c>
      <c r="O44" s="91"/>
      <c r="P44" s="90"/>
      <c r="Q44" s="90"/>
      <c r="R44" s="98"/>
      <c r="S44" s="98"/>
      <c r="T44" s="98"/>
      <c r="U44" s="98"/>
      <c r="V44" s="98"/>
      <c r="W44" s="98"/>
      <c r="X44" s="99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</row>
    <row r="45" spans="1:40" ht="12.75" outlineLevel="1" x14ac:dyDescent="0.2">
      <c r="A45" s="95"/>
      <c r="B45" s="111" t="s">
        <v>164</v>
      </c>
      <c r="C45" s="90"/>
      <c r="D45" s="90"/>
      <c r="E45" s="90"/>
      <c r="F45" s="90"/>
      <c r="G45" s="90"/>
      <c r="H45" s="91"/>
      <c r="I45" s="90"/>
      <c r="J45" s="90"/>
      <c r="K45" s="90">
        <v>0</v>
      </c>
      <c r="L45" s="90"/>
      <c r="M45" s="97">
        <v>0</v>
      </c>
      <c r="O45" s="91"/>
      <c r="P45" s="90"/>
      <c r="Q45" s="90"/>
      <c r="R45" s="98"/>
      <c r="S45" s="98"/>
      <c r="T45" s="98"/>
      <c r="U45" s="98"/>
      <c r="V45" s="98"/>
      <c r="W45" s="98"/>
      <c r="X45" s="99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</row>
    <row r="46" spans="1:40" ht="12.75" outlineLevel="1" x14ac:dyDescent="0.2">
      <c r="A46" s="95"/>
      <c r="B46" s="111" t="s">
        <v>165</v>
      </c>
      <c r="C46" s="90"/>
      <c r="D46" s="90"/>
      <c r="E46" s="90"/>
      <c r="F46" s="90"/>
      <c r="G46" s="90"/>
      <c r="H46" s="91"/>
      <c r="I46" s="90"/>
      <c r="J46" s="90"/>
      <c r="K46" s="90">
        <v>0</v>
      </c>
      <c r="L46" s="90"/>
      <c r="M46" s="97">
        <v>0</v>
      </c>
      <c r="O46" s="91"/>
      <c r="P46" s="90"/>
      <c r="Q46" s="90"/>
      <c r="R46" s="98"/>
      <c r="S46" s="98"/>
      <c r="T46" s="98"/>
      <c r="U46" s="98"/>
      <c r="V46" s="98"/>
      <c r="W46" s="98"/>
      <c r="X46" s="99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</row>
    <row r="47" spans="1:40" ht="12.75" outlineLevel="1" x14ac:dyDescent="0.2">
      <c r="A47" s="95"/>
      <c r="B47" s="111" t="s">
        <v>166</v>
      </c>
      <c r="C47" s="90"/>
      <c r="D47" s="90"/>
      <c r="E47" s="90"/>
      <c r="F47" s="90"/>
      <c r="G47" s="90"/>
      <c r="H47" s="91"/>
      <c r="I47" s="90"/>
      <c r="J47" s="90"/>
      <c r="K47" s="90">
        <v>0</v>
      </c>
      <c r="L47" s="90"/>
      <c r="M47" s="97">
        <v>0</v>
      </c>
      <c r="O47" s="91"/>
      <c r="P47" s="90"/>
      <c r="Q47" s="90"/>
      <c r="R47" s="98"/>
      <c r="S47" s="98"/>
      <c r="T47" s="98"/>
      <c r="U47" s="98"/>
      <c r="V47" s="98"/>
      <c r="W47" s="98"/>
      <c r="X47" s="99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</row>
    <row r="48" spans="1:40" ht="12.75" outlineLevel="1" x14ac:dyDescent="0.2">
      <c r="A48" s="95"/>
      <c r="B48" s="111" t="s">
        <v>167</v>
      </c>
      <c r="C48" s="90"/>
      <c r="D48" s="90"/>
      <c r="E48" s="90"/>
      <c r="F48" s="90"/>
      <c r="G48" s="90"/>
      <c r="H48" s="91"/>
      <c r="I48" s="90"/>
      <c r="J48" s="90"/>
      <c r="K48" s="90"/>
      <c r="L48" s="90"/>
      <c r="M48" s="97">
        <v>143</v>
      </c>
      <c r="O48" s="91"/>
      <c r="P48" s="90"/>
      <c r="Q48" s="90"/>
      <c r="R48" s="98"/>
      <c r="S48" s="98"/>
      <c r="T48" s="98"/>
      <c r="U48" s="98"/>
      <c r="V48" s="98"/>
      <c r="W48" s="98"/>
      <c r="X48" s="99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</row>
    <row r="49" spans="1:40" ht="12.75" outlineLevel="1" x14ac:dyDescent="0.2">
      <c r="A49" s="95"/>
      <c r="B49" s="107" t="s">
        <v>168</v>
      </c>
      <c r="C49" s="90"/>
      <c r="D49" s="90"/>
      <c r="E49" s="90"/>
      <c r="F49" s="90"/>
      <c r="G49" s="90"/>
      <c r="H49" s="91"/>
      <c r="I49" s="90"/>
      <c r="J49" s="90"/>
      <c r="K49" s="90">
        <v>0</v>
      </c>
      <c r="L49" s="90"/>
      <c r="M49" s="97">
        <v>0</v>
      </c>
      <c r="O49" s="91"/>
      <c r="P49" s="90"/>
      <c r="Q49" s="90"/>
      <c r="R49" s="98"/>
      <c r="S49" s="98"/>
      <c r="T49" s="98"/>
      <c r="U49" s="98"/>
      <c r="V49" s="98"/>
      <c r="W49" s="98"/>
      <c r="X49" s="99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</row>
    <row r="50" spans="1:40" ht="12.75" x14ac:dyDescent="0.2">
      <c r="A50" s="95"/>
      <c r="B50" s="101" t="s">
        <v>169</v>
      </c>
      <c r="C50" s="90"/>
      <c r="D50" s="90"/>
      <c r="E50" s="90"/>
      <c r="F50" s="90"/>
      <c r="G50" s="90"/>
      <c r="H50" s="91"/>
      <c r="I50" s="90"/>
      <c r="J50" s="90"/>
      <c r="K50" s="90"/>
      <c r="L50" s="90"/>
      <c r="M50" s="97"/>
      <c r="N50" s="113">
        <f>SUM(M39:M49)</f>
        <v>513</v>
      </c>
      <c r="O50" s="91"/>
      <c r="P50" s="90"/>
      <c r="Q50" s="90"/>
      <c r="R50" s="98"/>
      <c r="S50" s="98"/>
      <c r="T50" s="98"/>
      <c r="U50" s="98"/>
      <c r="V50" s="98"/>
      <c r="W50" s="98"/>
      <c r="X50" s="99"/>
      <c r="Y50" s="95"/>
      <c r="Z50" s="95"/>
      <c r="AA50" s="95" t="s">
        <v>144</v>
      </c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</row>
    <row r="51" spans="1:40" ht="12.75" x14ac:dyDescent="0.2">
      <c r="A51" s="95"/>
      <c r="B51" s="96" t="s">
        <v>170</v>
      </c>
      <c r="C51" s="90"/>
      <c r="D51" s="90"/>
      <c r="E51" s="90"/>
      <c r="F51" s="90"/>
      <c r="G51" s="90"/>
      <c r="H51" s="91"/>
      <c r="I51" s="90"/>
      <c r="J51" s="90"/>
      <c r="K51" s="90">
        <v>1000</v>
      </c>
      <c r="L51" s="90"/>
      <c r="M51" s="97"/>
      <c r="N51" s="113">
        <v>1825</v>
      </c>
      <c r="O51" s="91"/>
      <c r="P51" s="90"/>
      <c r="Q51" s="90"/>
      <c r="R51" s="98"/>
      <c r="S51" s="98"/>
      <c r="T51" s="98"/>
      <c r="U51" s="98" t="s">
        <v>132</v>
      </c>
      <c r="V51" s="98"/>
      <c r="W51" s="98"/>
      <c r="X51" s="99"/>
      <c r="Y51" s="95"/>
      <c r="Z51" s="95"/>
      <c r="AA51" s="95" t="s">
        <v>171</v>
      </c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</row>
    <row r="52" spans="1:40" ht="12.75" x14ac:dyDescent="0.2">
      <c r="A52" s="95"/>
      <c r="B52" s="101" t="s">
        <v>172</v>
      </c>
      <c r="C52" s="90"/>
      <c r="D52" s="90"/>
      <c r="E52" s="90"/>
      <c r="F52" s="90"/>
      <c r="G52" s="90"/>
      <c r="H52" s="91"/>
      <c r="I52" s="90"/>
      <c r="J52" s="90"/>
      <c r="K52" s="90">
        <v>0</v>
      </c>
      <c r="L52" s="90"/>
      <c r="M52" s="97"/>
      <c r="N52" s="92">
        <v>0</v>
      </c>
      <c r="O52" s="91"/>
      <c r="P52" s="90"/>
      <c r="Q52" s="90"/>
      <c r="R52" s="98"/>
      <c r="S52" s="98"/>
      <c r="T52" s="98"/>
      <c r="U52" s="98" t="s">
        <v>115</v>
      </c>
      <c r="V52" s="98"/>
      <c r="W52" s="98"/>
      <c r="X52" s="99" t="s">
        <v>173</v>
      </c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</row>
    <row r="53" spans="1:40" ht="12.75" x14ac:dyDescent="0.2">
      <c r="A53" s="123"/>
      <c r="B53" s="101"/>
      <c r="C53" s="102">
        <f t="shared" ref="C53:L53" si="2">SUM(C19:C52)</f>
        <v>0</v>
      </c>
      <c r="D53" s="102">
        <f t="shared" si="2"/>
        <v>0</v>
      </c>
      <c r="E53" s="102">
        <f t="shared" si="2"/>
        <v>0</v>
      </c>
      <c r="F53" s="102">
        <f t="shared" si="2"/>
        <v>0</v>
      </c>
      <c r="G53" s="102">
        <f t="shared" si="2"/>
        <v>0</v>
      </c>
      <c r="H53" s="104">
        <f t="shared" si="2"/>
        <v>0</v>
      </c>
      <c r="I53" s="102">
        <f t="shared" si="2"/>
        <v>0</v>
      </c>
      <c r="J53" s="102">
        <f t="shared" si="2"/>
        <v>0</v>
      </c>
      <c r="K53" s="102">
        <f t="shared" si="2"/>
        <v>5816</v>
      </c>
      <c r="L53" s="102">
        <f t="shared" si="2"/>
        <v>1685</v>
      </c>
      <c r="M53" s="105"/>
      <c r="N53" s="124">
        <f>SUM(N19:N52)</f>
        <v>27683.809999999998</v>
      </c>
      <c r="O53" s="104">
        <f t="shared" ref="O53" si="3">SUM(O19:O52)</f>
        <v>0</v>
      </c>
      <c r="P53" s="90">
        <f>G53-N53</f>
        <v>-27683.809999999998</v>
      </c>
      <c r="Q53" s="90"/>
      <c r="R53" s="98"/>
      <c r="S53" s="98"/>
      <c r="T53" s="98"/>
      <c r="U53" s="98"/>
      <c r="V53" s="98"/>
      <c r="W53" s="98"/>
      <c r="X53" s="99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</row>
    <row r="54" spans="1:40" ht="12.75" x14ac:dyDescent="0.2">
      <c r="A54" s="125" t="s">
        <v>17</v>
      </c>
      <c r="B54" s="101"/>
      <c r="C54" s="89"/>
      <c r="D54" s="89"/>
      <c r="E54" s="90"/>
      <c r="F54" s="90"/>
      <c r="G54" s="90"/>
      <c r="H54" s="91"/>
      <c r="I54" s="90"/>
      <c r="J54" s="90"/>
      <c r="K54" s="90"/>
      <c r="L54" s="90"/>
      <c r="M54" s="90"/>
      <c r="N54" s="92"/>
      <c r="O54" s="91"/>
      <c r="P54" s="90"/>
      <c r="Q54" s="90"/>
      <c r="R54" s="93"/>
      <c r="S54" s="93"/>
      <c r="T54" s="93"/>
      <c r="U54" s="93"/>
      <c r="V54" s="93"/>
      <c r="W54" s="93"/>
      <c r="X54" s="94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</row>
    <row r="55" spans="1:40" ht="12.75" x14ac:dyDescent="0.2">
      <c r="A55" s="169" t="s">
        <v>174</v>
      </c>
      <c r="B55" s="96" t="s">
        <v>175</v>
      </c>
      <c r="C55" s="120"/>
      <c r="D55" s="90">
        <v>4320</v>
      </c>
      <c r="E55" s="90">
        <v>6000</v>
      </c>
      <c r="F55" s="90">
        <v>2500</v>
      </c>
      <c r="G55" s="126">
        <v>3000</v>
      </c>
      <c r="H55" s="91"/>
      <c r="I55" s="90"/>
      <c r="J55" s="90"/>
      <c r="K55" s="90">
        <v>310</v>
      </c>
      <c r="L55" s="90"/>
      <c r="M55" s="97"/>
      <c r="N55" s="92"/>
      <c r="O55" s="91"/>
      <c r="P55" s="90"/>
      <c r="Q55" s="90"/>
      <c r="R55" s="98"/>
      <c r="S55" s="98" t="s">
        <v>108</v>
      </c>
      <c r="T55" s="98"/>
      <c r="U55" s="98" t="s">
        <v>122</v>
      </c>
      <c r="V55" s="98"/>
      <c r="W55" s="98"/>
      <c r="X55" s="99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</row>
    <row r="56" spans="1:40" ht="12.75" x14ac:dyDescent="0.2">
      <c r="A56" s="168"/>
      <c r="B56" s="96" t="s">
        <v>176</v>
      </c>
      <c r="C56" s="120"/>
      <c r="D56" s="90">
        <v>6850</v>
      </c>
      <c r="E56" s="90">
        <v>6000</v>
      </c>
      <c r="F56" s="90">
        <v>12000</v>
      </c>
      <c r="G56" s="126">
        <v>12000</v>
      </c>
      <c r="H56" s="91"/>
      <c r="I56" s="90"/>
      <c r="J56" s="90"/>
      <c r="K56" s="90">
        <v>310</v>
      </c>
      <c r="L56" s="90"/>
      <c r="M56" s="97"/>
      <c r="N56" s="92"/>
      <c r="O56" s="91"/>
      <c r="P56" s="90"/>
      <c r="Q56" s="90"/>
      <c r="R56" s="98" t="s">
        <v>118</v>
      </c>
      <c r="S56" s="98"/>
      <c r="T56" s="98"/>
      <c r="U56" s="98"/>
      <c r="V56" s="98"/>
      <c r="W56" s="98"/>
      <c r="X56" s="99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</row>
    <row r="57" spans="1:40" ht="12.75" x14ac:dyDescent="0.2">
      <c r="A57" s="95" t="s">
        <v>177</v>
      </c>
      <c r="B57" s="96" t="s">
        <v>178</v>
      </c>
      <c r="C57" s="120"/>
      <c r="D57" s="90">
        <v>750</v>
      </c>
      <c r="E57" s="90">
        <v>6000</v>
      </c>
      <c r="F57" s="90">
        <v>2250</v>
      </c>
      <c r="G57" s="126">
        <v>3000</v>
      </c>
      <c r="H57" s="91"/>
      <c r="I57" s="90"/>
      <c r="J57" s="90"/>
      <c r="K57" s="90">
        <v>310</v>
      </c>
      <c r="L57" s="90"/>
      <c r="M57" s="97"/>
      <c r="N57" s="92"/>
      <c r="O57" s="91"/>
      <c r="P57" s="90"/>
      <c r="Q57" s="90"/>
      <c r="R57" s="98"/>
      <c r="S57" s="98"/>
      <c r="T57" s="98"/>
      <c r="U57" s="98"/>
      <c r="V57" s="98"/>
      <c r="W57" s="98"/>
      <c r="X57" s="99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</row>
    <row r="58" spans="1:40" ht="12.75" x14ac:dyDescent="0.2">
      <c r="A58" s="95"/>
      <c r="B58" s="96" t="s">
        <v>179</v>
      </c>
      <c r="C58" s="121"/>
      <c r="D58" s="121"/>
      <c r="E58" s="90"/>
      <c r="F58" s="90"/>
      <c r="G58" s="90"/>
      <c r="H58" s="91"/>
      <c r="I58" s="90"/>
      <c r="J58" s="90"/>
      <c r="K58" s="90"/>
      <c r="L58" s="90"/>
      <c r="M58" s="97"/>
      <c r="N58" s="127">
        <v>555</v>
      </c>
      <c r="O58" s="91"/>
      <c r="P58" s="90"/>
      <c r="Q58" s="90"/>
      <c r="R58" s="98"/>
      <c r="S58" s="98"/>
      <c r="T58" s="98"/>
      <c r="U58" s="98"/>
      <c r="V58" s="98"/>
      <c r="W58" s="98"/>
      <c r="X58" s="99"/>
      <c r="Y58" s="95"/>
      <c r="Z58" s="95"/>
      <c r="AA58" s="95" t="s">
        <v>180</v>
      </c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</row>
    <row r="59" spans="1:40" ht="12.75" x14ac:dyDescent="0.2">
      <c r="A59" s="95"/>
      <c r="B59" s="101" t="s">
        <v>181</v>
      </c>
      <c r="C59" s="90"/>
      <c r="D59" s="90"/>
      <c r="E59" s="90"/>
      <c r="F59" s="90"/>
      <c r="G59" s="90"/>
      <c r="H59" s="91"/>
      <c r="I59" s="90"/>
      <c r="J59" s="90"/>
      <c r="K59" s="90">
        <v>100</v>
      </c>
      <c r="L59" s="90"/>
      <c r="M59" s="97"/>
      <c r="N59" s="92"/>
      <c r="O59" s="91"/>
      <c r="P59" s="90"/>
      <c r="Q59" s="90"/>
      <c r="R59" s="98"/>
      <c r="S59" s="98"/>
      <c r="T59" s="98"/>
      <c r="U59" s="98" t="s">
        <v>182</v>
      </c>
      <c r="V59" s="98"/>
      <c r="W59" s="98"/>
      <c r="X59" s="99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</row>
    <row r="60" spans="1:40" ht="12.75" x14ac:dyDescent="0.2">
      <c r="A60" s="95"/>
      <c r="B60" s="88"/>
      <c r="C60" s="102">
        <f t="shared" ref="C60:L60" si="4">SUM(C55:C59)</f>
        <v>0</v>
      </c>
      <c r="D60" s="102">
        <f t="shared" si="4"/>
        <v>11920</v>
      </c>
      <c r="E60" s="102">
        <f t="shared" si="4"/>
        <v>18000</v>
      </c>
      <c r="F60" s="102">
        <f t="shared" si="4"/>
        <v>16750</v>
      </c>
      <c r="G60" s="103">
        <f t="shared" si="4"/>
        <v>18000</v>
      </c>
      <c r="H60" s="104">
        <f t="shared" si="4"/>
        <v>0</v>
      </c>
      <c r="I60" s="102">
        <f t="shared" si="4"/>
        <v>0</v>
      </c>
      <c r="J60" s="102">
        <f t="shared" si="4"/>
        <v>0</v>
      </c>
      <c r="K60" s="102">
        <f t="shared" si="4"/>
        <v>1030</v>
      </c>
      <c r="L60" s="102">
        <f t="shared" si="4"/>
        <v>0</v>
      </c>
      <c r="M60" s="105"/>
      <c r="N60" s="124">
        <f t="shared" ref="N60:O60" si="5">SUM(N55:N59)</f>
        <v>555</v>
      </c>
      <c r="O60" s="104">
        <f t="shared" si="5"/>
        <v>0</v>
      </c>
      <c r="P60" s="90">
        <f>G60-N60</f>
        <v>17445</v>
      </c>
      <c r="Q60" s="90"/>
      <c r="R60" s="98"/>
      <c r="S60" s="98"/>
      <c r="T60" s="98"/>
      <c r="U60" s="98"/>
      <c r="V60" s="98"/>
      <c r="W60" s="98"/>
      <c r="X60" s="99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</row>
    <row r="61" spans="1:40" ht="12.75" x14ac:dyDescent="0.2">
      <c r="A61" s="125" t="s">
        <v>183</v>
      </c>
      <c r="B61" s="88"/>
      <c r="C61" s="89"/>
      <c r="D61" s="89"/>
      <c r="E61" s="90"/>
      <c r="F61" s="90"/>
      <c r="G61" s="90"/>
      <c r="H61" s="91"/>
      <c r="I61" s="90"/>
      <c r="J61" s="90"/>
      <c r="K61" s="90"/>
      <c r="L61" s="90"/>
      <c r="M61" s="90"/>
      <c r="N61" s="92"/>
      <c r="O61" s="91"/>
      <c r="P61" s="90"/>
      <c r="Q61" s="90"/>
      <c r="R61" s="93"/>
      <c r="S61" s="93"/>
      <c r="T61" s="93"/>
      <c r="U61" s="93"/>
      <c r="V61" s="93"/>
      <c r="W61" s="93" t="s">
        <v>108</v>
      </c>
      <c r="X61" s="94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</row>
    <row r="62" spans="1:40" ht="12.75" x14ac:dyDescent="0.2">
      <c r="A62" s="128"/>
      <c r="B62" s="101" t="s">
        <v>183</v>
      </c>
      <c r="C62" s="90"/>
      <c r="D62" s="90"/>
      <c r="E62" s="90"/>
      <c r="F62" s="90"/>
      <c r="G62" s="90"/>
      <c r="H62" s="91"/>
      <c r="I62" s="90"/>
      <c r="J62" s="90"/>
      <c r="K62" s="90"/>
      <c r="L62" s="90"/>
      <c r="M62" s="90"/>
      <c r="N62" s="92"/>
      <c r="O62" s="91"/>
      <c r="P62" s="90"/>
      <c r="Q62" s="90"/>
      <c r="R62" s="98"/>
      <c r="S62" s="98"/>
      <c r="T62" s="98"/>
      <c r="U62" s="98" t="s">
        <v>104</v>
      </c>
      <c r="V62" s="98"/>
      <c r="W62" s="98" t="s">
        <v>108</v>
      </c>
      <c r="X62" s="99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</row>
    <row r="63" spans="1:40" ht="12.75" x14ac:dyDescent="0.2">
      <c r="A63" s="95" t="s">
        <v>113</v>
      </c>
      <c r="B63" s="101" t="s">
        <v>184</v>
      </c>
      <c r="C63" s="90"/>
      <c r="D63" s="90"/>
      <c r="E63" s="90"/>
      <c r="F63" s="90"/>
      <c r="G63" s="129">
        <v>9849.5999999999985</v>
      </c>
      <c r="H63" s="91"/>
      <c r="I63" s="90"/>
      <c r="J63" s="90"/>
      <c r="K63" s="90"/>
      <c r="L63" s="90"/>
      <c r="M63" s="90"/>
      <c r="N63" s="92"/>
      <c r="O63" s="91"/>
      <c r="P63" s="90"/>
      <c r="Q63" s="90"/>
      <c r="R63" s="98"/>
      <c r="S63" s="98"/>
      <c r="T63" s="98"/>
      <c r="U63" s="98" t="s">
        <v>104</v>
      </c>
      <c r="V63" s="98"/>
      <c r="W63" s="98" t="s">
        <v>185</v>
      </c>
      <c r="X63" s="99"/>
      <c r="Y63" s="95"/>
      <c r="Z63" s="95"/>
      <c r="AA63" s="100" t="s">
        <v>186</v>
      </c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</row>
    <row r="64" spans="1:40" ht="12.75" x14ac:dyDescent="0.2">
      <c r="A64" s="125" t="s">
        <v>187</v>
      </c>
      <c r="B64" s="88"/>
      <c r="C64" s="89"/>
      <c r="D64" s="89"/>
      <c r="E64" s="90"/>
      <c r="F64" s="90"/>
      <c r="G64" s="90"/>
      <c r="H64" s="91"/>
      <c r="I64" s="90"/>
      <c r="J64" s="90"/>
      <c r="K64" s="90"/>
      <c r="L64" s="90"/>
      <c r="M64" s="90"/>
      <c r="N64" s="92"/>
      <c r="O64" s="91"/>
      <c r="P64" s="90"/>
      <c r="Q64" s="90"/>
      <c r="R64" s="93"/>
      <c r="S64" s="93"/>
      <c r="T64" s="93"/>
      <c r="U64" s="93"/>
      <c r="V64" s="93"/>
      <c r="W64" s="93" t="s">
        <v>108</v>
      </c>
      <c r="X64" s="94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</row>
    <row r="65" spans="1:40" ht="12.75" x14ac:dyDescent="0.2">
      <c r="A65" s="128"/>
      <c r="B65" s="130" t="s">
        <v>188</v>
      </c>
      <c r="C65" s="131"/>
      <c r="D65" s="131"/>
      <c r="E65" s="131"/>
      <c r="F65" s="131"/>
      <c r="G65" s="131"/>
      <c r="H65" s="132"/>
      <c r="I65" s="90"/>
      <c r="J65" s="90"/>
      <c r="K65" s="90"/>
      <c r="L65" s="90"/>
      <c r="M65" s="90"/>
      <c r="O65" s="91"/>
      <c r="P65" s="90"/>
      <c r="Y65" s="95"/>
      <c r="Z65" s="95"/>
      <c r="AA65" s="100" t="s">
        <v>189</v>
      </c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</row>
    <row r="66" spans="1:40" ht="12.75" x14ac:dyDescent="0.2">
      <c r="A66" s="87" t="s">
        <v>190</v>
      </c>
      <c r="B66" s="88"/>
      <c r="C66" s="89"/>
      <c r="D66" s="89"/>
      <c r="E66" s="90"/>
      <c r="F66" s="90"/>
      <c r="G66" s="90"/>
      <c r="H66" s="91"/>
      <c r="I66" s="90"/>
      <c r="J66" s="90"/>
      <c r="K66" s="90"/>
      <c r="L66" s="90"/>
      <c r="M66" s="90"/>
      <c r="N66" s="92"/>
      <c r="O66" s="91"/>
      <c r="P66" s="90"/>
      <c r="Q66" s="90"/>
      <c r="R66" s="93"/>
      <c r="S66" s="93"/>
      <c r="T66" s="93"/>
      <c r="U66" s="93"/>
      <c r="V66" s="93"/>
      <c r="W66" s="93"/>
      <c r="X66" s="94"/>
      <c r="Y66" s="95"/>
      <c r="Z66" s="95"/>
      <c r="AA66" s="100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</row>
    <row r="67" spans="1:40" ht="12.75" x14ac:dyDescent="0.2">
      <c r="A67" s="95"/>
      <c r="B67" s="96" t="s">
        <v>191</v>
      </c>
      <c r="C67" s="90"/>
      <c r="D67" s="90"/>
      <c r="E67" s="90"/>
      <c r="F67" s="90"/>
      <c r="G67" s="133">
        <v>4000</v>
      </c>
      <c r="H67" s="91"/>
      <c r="I67" s="90"/>
      <c r="J67" s="90"/>
      <c r="K67" s="90"/>
      <c r="L67" s="90"/>
      <c r="M67" s="97"/>
      <c r="N67" s="113">
        <v>2500</v>
      </c>
      <c r="O67" s="91"/>
      <c r="P67" s="90"/>
      <c r="Q67" s="90"/>
      <c r="R67" s="98"/>
      <c r="S67" s="98"/>
      <c r="T67" s="98"/>
      <c r="U67" s="98" t="s">
        <v>182</v>
      </c>
      <c r="V67" s="98"/>
      <c r="W67" s="98" t="s">
        <v>192</v>
      </c>
      <c r="X67" s="99"/>
      <c r="Y67" s="95"/>
      <c r="Z67" s="95"/>
      <c r="AA67" s="95" t="s">
        <v>17</v>
      </c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</row>
    <row r="68" spans="1:40" ht="12.75" x14ac:dyDescent="0.2">
      <c r="A68" s="95"/>
      <c r="B68" s="96" t="s">
        <v>193</v>
      </c>
      <c r="C68" s="90"/>
      <c r="D68" s="90"/>
      <c r="E68" s="90"/>
      <c r="F68" s="90"/>
      <c r="G68" s="90"/>
      <c r="H68" s="91"/>
      <c r="I68" s="90"/>
      <c r="J68" s="90"/>
      <c r="K68" s="90"/>
      <c r="L68" s="90"/>
      <c r="M68" s="97"/>
      <c r="N68" s="113">
        <v>200</v>
      </c>
      <c r="O68" s="91"/>
      <c r="P68" s="90"/>
      <c r="Q68" s="90"/>
      <c r="R68" s="98"/>
      <c r="S68" s="98"/>
      <c r="T68" s="98"/>
      <c r="U68" s="98" t="s">
        <v>104</v>
      </c>
      <c r="V68" s="98"/>
      <c r="W68" s="98" t="s">
        <v>108</v>
      </c>
      <c r="X68" s="99"/>
      <c r="Y68" s="95"/>
      <c r="Z68" s="95"/>
      <c r="AA68" s="95" t="s">
        <v>17</v>
      </c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</row>
    <row r="69" spans="1:40" ht="12.75" x14ac:dyDescent="0.2">
      <c r="A69" s="128"/>
      <c r="B69" s="101" t="s">
        <v>194</v>
      </c>
      <c r="C69" s="90"/>
      <c r="D69" s="90"/>
      <c r="E69" s="90"/>
      <c r="F69" s="90"/>
      <c r="G69" s="90"/>
      <c r="H69" s="91"/>
      <c r="I69" s="90"/>
      <c r="J69" s="90"/>
      <c r="K69" s="90"/>
      <c r="L69" s="90"/>
      <c r="M69" s="97"/>
      <c r="N69" s="92"/>
      <c r="O69" s="91"/>
      <c r="P69" s="90"/>
      <c r="Q69" s="90"/>
      <c r="R69" s="98"/>
      <c r="S69" s="98"/>
      <c r="T69" s="98"/>
      <c r="U69" s="98"/>
      <c r="V69" s="98"/>
      <c r="W69" s="98"/>
      <c r="X69" s="99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</row>
    <row r="70" spans="1:40" ht="12.75" x14ac:dyDescent="0.2">
      <c r="A70" s="128"/>
      <c r="B70" s="101"/>
      <c r="C70" s="102">
        <f t="shared" ref="C70:L70" si="6">SUM(C67:C69)</f>
        <v>0</v>
      </c>
      <c r="D70" s="102">
        <f t="shared" si="6"/>
        <v>0</v>
      </c>
      <c r="E70" s="102">
        <f t="shared" si="6"/>
        <v>0</v>
      </c>
      <c r="F70" s="102">
        <f t="shared" si="6"/>
        <v>0</v>
      </c>
      <c r="G70" s="102">
        <f t="shared" si="6"/>
        <v>4000</v>
      </c>
      <c r="H70" s="104">
        <f t="shared" si="6"/>
        <v>0</v>
      </c>
      <c r="I70" s="102">
        <f t="shared" si="6"/>
        <v>0</v>
      </c>
      <c r="J70" s="102">
        <f t="shared" si="6"/>
        <v>0</v>
      </c>
      <c r="K70" s="102">
        <f t="shared" si="6"/>
        <v>0</v>
      </c>
      <c r="L70" s="102">
        <f t="shared" si="6"/>
        <v>0</v>
      </c>
      <c r="M70" s="105"/>
      <c r="N70" s="124">
        <f t="shared" ref="N70:O70" si="7">SUM(N67:N69)</f>
        <v>2700</v>
      </c>
      <c r="O70" s="104">
        <f t="shared" si="7"/>
        <v>0</v>
      </c>
      <c r="P70" s="90">
        <f>G70-N70</f>
        <v>1300</v>
      </c>
      <c r="Q70" s="90"/>
      <c r="R70" s="98"/>
      <c r="S70" s="98"/>
      <c r="T70" s="98"/>
      <c r="U70" s="98"/>
      <c r="V70" s="98"/>
      <c r="W70" s="98"/>
      <c r="X70" s="99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</row>
    <row r="71" spans="1:40" ht="12.75" x14ac:dyDescent="0.2">
      <c r="A71" s="125" t="s">
        <v>195</v>
      </c>
      <c r="B71" s="101"/>
      <c r="C71" s="89"/>
      <c r="D71" s="89"/>
      <c r="E71" s="90"/>
      <c r="F71" s="90"/>
      <c r="G71" s="90"/>
      <c r="H71" s="91"/>
      <c r="I71" s="90"/>
      <c r="J71" s="90"/>
      <c r="K71" s="90"/>
      <c r="L71" s="90"/>
      <c r="M71" s="90"/>
      <c r="N71" s="92"/>
      <c r="O71" s="91"/>
      <c r="P71" s="90"/>
      <c r="Q71" s="90"/>
      <c r="R71" s="93"/>
      <c r="S71" s="93"/>
      <c r="T71" s="93"/>
      <c r="U71" s="93"/>
      <c r="V71" s="93"/>
      <c r="W71" s="93"/>
      <c r="X71" s="94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</row>
    <row r="72" spans="1:40" ht="12.75" x14ac:dyDescent="0.2">
      <c r="A72" s="95"/>
      <c r="B72" s="96" t="s">
        <v>196</v>
      </c>
      <c r="C72" s="90"/>
      <c r="D72" s="90"/>
      <c r="E72" s="90"/>
      <c r="F72" s="90"/>
      <c r="G72" s="90">
        <v>0</v>
      </c>
      <c r="H72" s="91"/>
      <c r="I72" s="90"/>
      <c r="J72" s="90"/>
      <c r="K72" s="90"/>
      <c r="L72" s="90"/>
      <c r="M72" s="97"/>
      <c r="N72" s="113">
        <v>200</v>
      </c>
      <c r="O72" s="91"/>
      <c r="P72" s="90"/>
      <c r="Q72" s="90"/>
      <c r="R72" s="98" t="s">
        <v>156</v>
      </c>
      <c r="S72" s="98"/>
      <c r="T72" s="98"/>
      <c r="U72" s="98" t="s">
        <v>104</v>
      </c>
      <c r="V72" s="98"/>
      <c r="W72" s="98" t="s">
        <v>108</v>
      </c>
      <c r="X72" s="99"/>
      <c r="Y72" s="95">
        <v>8</v>
      </c>
      <c r="Z72" s="95" t="s">
        <v>197</v>
      </c>
      <c r="AA72" s="95" t="s">
        <v>17</v>
      </c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</row>
    <row r="73" spans="1:40" ht="12.75" x14ac:dyDescent="0.2">
      <c r="A73" s="95"/>
      <c r="B73" s="96" t="s">
        <v>198</v>
      </c>
      <c r="C73" s="90"/>
      <c r="D73" s="90"/>
      <c r="E73" s="90"/>
      <c r="F73" s="90"/>
      <c r="G73" s="133">
        <v>1000</v>
      </c>
      <c r="H73" s="91"/>
      <c r="I73" s="90"/>
      <c r="J73" s="90"/>
      <c r="K73" s="90"/>
      <c r="L73" s="90"/>
      <c r="M73" s="97"/>
      <c r="N73" s="113">
        <v>3057</v>
      </c>
      <c r="O73" s="91"/>
      <c r="P73" s="90"/>
      <c r="Q73" s="90"/>
      <c r="R73" s="98"/>
      <c r="S73" s="98"/>
      <c r="T73" s="98"/>
      <c r="U73" s="98" t="s">
        <v>104</v>
      </c>
      <c r="V73" s="98"/>
      <c r="W73" s="98" t="s">
        <v>108</v>
      </c>
      <c r="X73" s="99"/>
      <c r="Y73" s="95">
        <v>260</v>
      </c>
      <c r="Z73" s="95" t="s">
        <v>199</v>
      </c>
      <c r="AA73" s="95" t="s">
        <v>17</v>
      </c>
      <c r="AB73" s="100" t="s">
        <v>200</v>
      </c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</row>
    <row r="74" spans="1:40" ht="12.75" x14ac:dyDescent="0.2">
      <c r="A74" s="95"/>
      <c r="B74" s="101" t="s">
        <v>201</v>
      </c>
      <c r="C74" s="90"/>
      <c r="D74" s="90"/>
      <c r="E74" s="90"/>
      <c r="F74" s="90"/>
      <c r="G74" s="133">
        <v>2125</v>
      </c>
      <c r="H74" s="91"/>
      <c r="I74" s="90"/>
      <c r="J74" s="90"/>
      <c r="K74" s="90"/>
      <c r="L74" s="90"/>
      <c r="M74" s="97"/>
      <c r="N74" s="92"/>
      <c r="O74" s="91"/>
      <c r="P74" s="90"/>
      <c r="Q74" s="90"/>
      <c r="R74" s="98"/>
      <c r="S74" s="98"/>
      <c r="T74" s="98"/>
      <c r="U74" s="98" t="s">
        <v>104</v>
      </c>
      <c r="V74" s="109" t="s">
        <v>108</v>
      </c>
      <c r="W74" s="98" t="s">
        <v>108</v>
      </c>
      <c r="X74" s="99" t="s">
        <v>202</v>
      </c>
      <c r="Y74" s="95">
        <v>820</v>
      </c>
      <c r="Z74" s="95" t="s">
        <v>199</v>
      </c>
      <c r="AA74" s="95" t="s">
        <v>17</v>
      </c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</row>
    <row r="75" spans="1:40" ht="12.75" x14ac:dyDescent="0.2">
      <c r="A75" s="95"/>
      <c r="B75" s="101" t="s">
        <v>203</v>
      </c>
      <c r="C75" s="90"/>
      <c r="D75" s="90"/>
      <c r="E75" s="90"/>
      <c r="F75" s="90"/>
      <c r="G75" s="90"/>
      <c r="H75" s="91"/>
      <c r="I75" s="90"/>
      <c r="J75" s="90"/>
      <c r="K75" s="90"/>
      <c r="L75" s="90"/>
      <c r="M75" s="97"/>
      <c r="N75" s="92"/>
      <c r="O75" s="91"/>
      <c r="P75" s="90"/>
      <c r="Q75" s="90"/>
      <c r="R75" s="98"/>
      <c r="S75" s="98"/>
      <c r="T75" s="98"/>
      <c r="U75" s="98"/>
      <c r="V75" s="98"/>
      <c r="W75" s="98"/>
      <c r="X75" s="99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</row>
    <row r="76" spans="1:40" ht="12.75" x14ac:dyDescent="0.2">
      <c r="A76" s="95"/>
      <c r="B76" s="101"/>
      <c r="C76" s="102">
        <f t="shared" ref="C76:L76" si="8">SUM(C72:C75)</f>
        <v>0</v>
      </c>
      <c r="D76" s="102">
        <f t="shared" si="8"/>
        <v>0</v>
      </c>
      <c r="E76" s="102">
        <f t="shared" si="8"/>
        <v>0</v>
      </c>
      <c r="F76" s="102">
        <f t="shared" si="8"/>
        <v>0</v>
      </c>
      <c r="G76" s="102">
        <f t="shared" si="8"/>
        <v>3125</v>
      </c>
      <c r="H76" s="102">
        <f t="shared" si="8"/>
        <v>0</v>
      </c>
      <c r="I76" s="134">
        <f t="shared" si="8"/>
        <v>0</v>
      </c>
      <c r="J76" s="102">
        <f t="shared" si="8"/>
        <v>0</v>
      </c>
      <c r="K76" s="102">
        <f t="shared" si="8"/>
        <v>0</v>
      </c>
      <c r="L76" s="102">
        <f t="shared" si="8"/>
        <v>0</v>
      </c>
      <c r="M76" s="105"/>
      <c r="N76" s="124">
        <f t="shared" ref="N76:O76" si="9">SUM(N72:N75)</f>
        <v>3257</v>
      </c>
      <c r="O76" s="104">
        <f t="shared" si="9"/>
        <v>0</v>
      </c>
      <c r="P76" s="90">
        <f>G76-N76</f>
        <v>-132</v>
      </c>
      <c r="Q76" s="90"/>
      <c r="R76" s="98"/>
      <c r="S76" s="98"/>
      <c r="T76" s="98"/>
      <c r="U76" s="98"/>
      <c r="V76" s="98"/>
      <c r="W76" s="98"/>
      <c r="X76" s="99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</row>
    <row r="77" spans="1:40" ht="12.75" x14ac:dyDescent="0.2">
      <c r="A77" s="125" t="s">
        <v>31</v>
      </c>
      <c r="B77" s="101"/>
      <c r="C77" s="89"/>
      <c r="D77" s="89"/>
      <c r="E77" s="90"/>
      <c r="F77" s="90"/>
      <c r="G77" s="90"/>
      <c r="H77" s="91"/>
      <c r="I77" s="90"/>
      <c r="J77" s="90"/>
      <c r="K77" s="90"/>
      <c r="L77" s="90"/>
      <c r="M77" s="90"/>
      <c r="N77" s="92"/>
      <c r="O77" s="91"/>
      <c r="P77" s="90"/>
      <c r="Q77" s="90"/>
      <c r="R77" s="93"/>
      <c r="S77" s="93"/>
      <c r="T77" s="93"/>
      <c r="U77" s="93"/>
      <c r="V77" s="93"/>
      <c r="W77" s="93"/>
      <c r="X77" s="94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5"/>
    </row>
    <row r="78" spans="1:40" ht="12.75" x14ac:dyDescent="0.2">
      <c r="A78" s="95"/>
      <c r="B78" s="96" t="s">
        <v>204</v>
      </c>
      <c r="C78" s="90"/>
      <c r="D78" s="90"/>
      <c r="E78" s="90"/>
      <c r="F78" s="90"/>
      <c r="G78" s="90"/>
      <c r="H78" s="91"/>
      <c r="I78" s="90"/>
      <c r="J78" s="90"/>
      <c r="K78" s="90"/>
      <c r="L78" s="90"/>
      <c r="M78" s="97"/>
      <c r="N78" s="92">
        <v>100</v>
      </c>
      <c r="O78" s="91"/>
      <c r="P78" s="90"/>
      <c r="Q78" s="90"/>
      <c r="R78" s="98"/>
      <c r="S78" s="98"/>
      <c r="T78" s="98"/>
      <c r="U78" s="98" t="s">
        <v>104</v>
      </c>
      <c r="V78" s="98"/>
      <c r="W78" s="98" t="s">
        <v>108</v>
      </c>
      <c r="X78" s="99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</row>
    <row r="79" spans="1:40" ht="12.75" x14ac:dyDescent="0.2">
      <c r="A79" s="95"/>
      <c r="B79" s="96" t="s">
        <v>205</v>
      </c>
      <c r="C79" s="90"/>
      <c r="D79" s="90"/>
      <c r="E79" s="90"/>
      <c r="F79" s="90"/>
      <c r="G79" s="90"/>
      <c r="H79" s="91"/>
      <c r="I79" s="90"/>
      <c r="J79" s="90"/>
      <c r="K79" s="90"/>
      <c r="L79" s="90"/>
      <c r="M79" s="97"/>
      <c r="N79" s="92">
        <v>100</v>
      </c>
      <c r="O79" s="91"/>
      <c r="P79" s="90"/>
      <c r="Q79" s="90"/>
      <c r="R79" s="98"/>
      <c r="S79" s="98"/>
      <c r="T79" s="98"/>
      <c r="U79" s="98" t="s">
        <v>104</v>
      </c>
      <c r="V79" s="98"/>
      <c r="W79" s="98" t="s">
        <v>108</v>
      </c>
      <c r="X79" s="99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</row>
    <row r="80" spans="1:40" ht="12.75" x14ac:dyDescent="0.2">
      <c r="A80" s="95"/>
      <c r="B80" s="96" t="s">
        <v>206</v>
      </c>
      <c r="C80" s="90"/>
      <c r="D80" s="90"/>
      <c r="E80" s="90"/>
      <c r="F80" s="90"/>
      <c r="G80" s="90"/>
      <c r="H80" s="91"/>
      <c r="I80" s="90"/>
      <c r="J80" s="90"/>
      <c r="K80" s="90"/>
      <c r="L80" s="90"/>
      <c r="M80" s="97"/>
      <c r="N80" s="92">
        <v>50</v>
      </c>
      <c r="O80" s="91"/>
      <c r="P80" s="90"/>
      <c r="Q80" s="90"/>
      <c r="R80" s="98"/>
      <c r="S80" s="98"/>
      <c r="T80" s="98"/>
      <c r="U80" s="98" t="s">
        <v>104</v>
      </c>
      <c r="V80" s="98"/>
      <c r="W80" s="98" t="s">
        <v>108</v>
      </c>
      <c r="X80" s="99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</row>
    <row r="81" spans="1:40" ht="12.75" x14ac:dyDescent="0.2">
      <c r="A81" s="95"/>
      <c r="B81" s="96" t="s">
        <v>207</v>
      </c>
      <c r="C81" s="90"/>
      <c r="D81" s="90"/>
      <c r="E81" s="90"/>
      <c r="F81" s="90"/>
      <c r="G81" s="90"/>
      <c r="H81" s="91"/>
      <c r="I81" s="90"/>
      <c r="J81" s="90"/>
      <c r="K81" s="90"/>
      <c r="L81" s="90"/>
      <c r="M81" s="97"/>
      <c r="N81" s="92">
        <v>850</v>
      </c>
      <c r="O81" s="91"/>
      <c r="P81" s="90"/>
      <c r="Q81" s="90"/>
      <c r="R81" s="98"/>
      <c r="S81" s="98"/>
      <c r="T81" s="98"/>
      <c r="U81" s="98" t="s">
        <v>104</v>
      </c>
      <c r="V81" s="98"/>
      <c r="W81" s="98" t="s">
        <v>108</v>
      </c>
      <c r="X81" s="99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</row>
    <row r="82" spans="1:40" ht="12.75" x14ac:dyDescent="0.2">
      <c r="A82" s="95"/>
      <c r="B82" s="96" t="s">
        <v>208</v>
      </c>
      <c r="C82" s="121"/>
      <c r="D82" s="121"/>
      <c r="E82" s="90"/>
      <c r="F82" s="90"/>
      <c r="G82" s="90"/>
      <c r="H82" s="91"/>
      <c r="I82" s="90"/>
      <c r="J82" s="90"/>
      <c r="K82" s="90"/>
      <c r="L82" s="90"/>
      <c r="M82" s="97"/>
      <c r="N82" s="135">
        <v>396</v>
      </c>
      <c r="O82" s="91"/>
      <c r="P82" s="90"/>
      <c r="Q82" s="90"/>
      <c r="R82" s="98"/>
      <c r="S82" s="98"/>
      <c r="T82" s="98"/>
      <c r="U82" s="98"/>
      <c r="V82" s="98"/>
      <c r="W82" s="98"/>
      <c r="X82" s="99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</row>
    <row r="83" spans="1:40" ht="12.75" x14ac:dyDescent="0.2">
      <c r="A83" s="95"/>
      <c r="B83" s="101" t="s">
        <v>209</v>
      </c>
      <c r="C83" s="90"/>
      <c r="D83" s="90"/>
      <c r="E83" s="90"/>
      <c r="F83" s="90"/>
      <c r="G83" s="90"/>
      <c r="H83" s="91"/>
      <c r="I83" s="90"/>
      <c r="J83" s="90"/>
      <c r="K83" s="90"/>
      <c r="L83" s="90"/>
      <c r="M83" s="97"/>
      <c r="N83" s="92">
        <v>0</v>
      </c>
      <c r="O83" s="91"/>
      <c r="P83" s="90"/>
      <c r="Q83" s="90"/>
      <c r="R83" s="98"/>
      <c r="S83" s="98"/>
      <c r="T83" s="98"/>
      <c r="U83" s="98" t="s">
        <v>104</v>
      </c>
      <c r="V83" s="98"/>
      <c r="W83" s="98" t="s">
        <v>108</v>
      </c>
      <c r="X83" s="99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</row>
    <row r="84" spans="1:40" ht="12.75" x14ac:dyDescent="0.2">
      <c r="A84" s="95"/>
      <c r="B84" s="96" t="s">
        <v>210</v>
      </c>
      <c r="C84" s="90"/>
      <c r="D84" s="90"/>
      <c r="E84" s="90"/>
      <c r="F84" s="90"/>
      <c r="G84" s="90"/>
      <c r="H84" s="91"/>
      <c r="I84" s="90"/>
      <c r="J84" s="90"/>
      <c r="K84" s="90"/>
      <c r="L84" s="90"/>
      <c r="M84" s="97"/>
      <c r="N84" s="92">
        <v>0</v>
      </c>
      <c r="O84" s="91"/>
      <c r="P84" s="90"/>
      <c r="Q84" s="90"/>
      <c r="R84" s="98"/>
      <c r="S84" s="98"/>
      <c r="T84" s="98"/>
      <c r="U84" s="98" t="s">
        <v>104</v>
      </c>
      <c r="V84" s="98"/>
      <c r="W84" s="98" t="s">
        <v>108</v>
      </c>
      <c r="X84" s="99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</row>
    <row r="85" spans="1:40" ht="12.75" x14ac:dyDescent="0.2">
      <c r="A85" s="95"/>
      <c r="B85" s="101"/>
      <c r="C85" s="102">
        <f t="shared" ref="C85:L85" si="10">SUM(C78:C84)</f>
        <v>0</v>
      </c>
      <c r="D85" s="102">
        <f t="shared" si="10"/>
        <v>0</v>
      </c>
      <c r="E85" s="102">
        <f t="shared" si="10"/>
        <v>0</v>
      </c>
      <c r="F85" s="102">
        <f t="shared" si="10"/>
        <v>0</v>
      </c>
      <c r="G85" s="102">
        <f t="shared" si="10"/>
        <v>0</v>
      </c>
      <c r="H85" s="104">
        <f t="shared" si="10"/>
        <v>0</v>
      </c>
      <c r="I85" s="102">
        <f t="shared" si="10"/>
        <v>0</v>
      </c>
      <c r="J85" s="102">
        <f t="shared" si="10"/>
        <v>0</v>
      </c>
      <c r="K85" s="102">
        <f t="shared" si="10"/>
        <v>0</v>
      </c>
      <c r="L85" s="102">
        <f t="shared" si="10"/>
        <v>0</v>
      </c>
      <c r="M85" s="105"/>
      <c r="N85" s="124">
        <f t="shared" ref="N85:O85" si="11">SUM(N78:N84)</f>
        <v>1496</v>
      </c>
      <c r="O85" s="104">
        <f t="shared" si="11"/>
        <v>0</v>
      </c>
      <c r="P85" s="133">
        <f>G85-N85</f>
        <v>-1496</v>
      </c>
      <c r="Q85" s="90"/>
      <c r="R85" s="98"/>
      <c r="S85" s="98"/>
      <c r="T85" s="98"/>
      <c r="U85" s="98"/>
      <c r="V85" s="98"/>
      <c r="W85" s="98"/>
      <c r="X85" s="99"/>
      <c r="Y85" s="95"/>
      <c r="Z85" s="95"/>
      <c r="AA85" s="95" t="s">
        <v>31</v>
      </c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</row>
    <row r="86" spans="1:40" ht="12.75" x14ac:dyDescent="0.2">
      <c r="A86" s="87" t="s">
        <v>211</v>
      </c>
      <c r="B86" s="88"/>
      <c r="C86" s="89"/>
      <c r="D86" s="89"/>
      <c r="E86" s="90"/>
      <c r="F86" s="90"/>
      <c r="G86" s="90"/>
      <c r="H86" s="91"/>
      <c r="I86" s="90"/>
      <c r="J86" s="90"/>
      <c r="K86" s="90"/>
      <c r="L86" s="90"/>
      <c r="M86" s="90"/>
      <c r="N86" s="136"/>
      <c r="O86" s="91"/>
      <c r="P86" s="90"/>
      <c r="Q86" s="90"/>
      <c r="R86" s="93"/>
      <c r="S86" s="93"/>
      <c r="T86" s="93"/>
      <c r="U86" s="93"/>
      <c r="V86" s="93"/>
      <c r="W86" s="93"/>
      <c r="X86" s="94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</row>
    <row r="87" spans="1:40" ht="12.75" x14ac:dyDescent="0.2">
      <c r="A87" s="95"/>
      <c r="B87" s="101" t="s">
        <v>212</v>
      </c>
      <c r="C87" s="90"/>
      <c r="D87" s="90"/>
      <c r="E87" s="90"/>
      <c r="F87" s="90"/>
      <c r="G87" s="90"/>
      <c r="H87" s="91"/>
      <c r="I87" s="90"/>
      <c r="J87" s="90"/>
      <c r="K87" s="90"/>
      <c r="L87" s="90"/>
      <c r="M87" s="97"/>
      <c r="N87" s="92">
        <v>100</v>
      </c>
      <c r="O87" s="91"/>
      <c r="P87" s="90"/>
      <c r="Q87" s="90"/>
      <c r="R87" s="120"/>
      <c r="S87" s="98"/>
      <c r="T87" s="98"/>
      <c r="U87" s="98"/>
      <c r="V87" s="98"/>
      <c r="W87" s="98"/>
      <c r="X87" s="99" t="s">
        <v>213</v>
      </c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</row>
    <row r="88" spans="1:40" ht="12.75" x14ac:dyDescent="0.2">
      <c r="A88" s="128"/>
      <c r="B88" s="101" t="s">
        <v>214</v>
      </c>
      <c r="C88" s="90"/>
      <c r="D88" s="90"/>
      <c r="E88" s="90"/>
      <c r="F88" s="90"/>
      <c r="G88" s="90"/>
      <c r="H88" s="91"/>
      <c r="I88" s="90"/>
      <c r="J88" s="90"/>
      <c r="K88" s="90"/>
      <c r="L88" s="90"/>
      <c r="M88" s="97"/>
      <c r="N88" s="92">
        <v>100</v>
      </c>
      <c r="O88" s="91"/>
      <c r="P88" s="90"/>
      <c r="Q88" s="90"/>
      <c r="R88" s="98"/>
      <c r="S88" s="98"/>
      <c r="T88" s="98"/>
      <c r="U88" s="98"/>
      <c r="V88" s="98"/>
      <c r="W88" s="98"/>
      <c r="X88" s="99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</row>
    <row r="89" spans="1:40" ht="12.75" x14ac:dyDescent="0.2">
      <c r="A89" s="128"/>
      <c r="B89" s="96" t="s">
        <v>215</v>
      </c>
      <c r="C89" s="90"/>
      <c r="D89" s="90"/>
      <c r="E89" s="90"/>
      <c r="F89" s="90"/>
      <c r="G89" s="90"/>
      <c r="H89" s="91"/>
      <c r="I89" s="90"/>
      <c r="J89" s="90"/>
      <c r="K89" s="90"/>
      <c r="L89" s="90"/>
      <c r="M89" s="97"/>
      <c r="N89" s="92"/>
      <c r="O89" s="91"/>
      <c r="P89" s="90"/>
      <c r="Q89" s="90"/>
      <c r="R89" s="98" t="s">
        <v>156</v>
      </c>
      <c r="S89" s="98"/>
      <c r="T89" s="98"/>
      <c r="U89" s="98"/>
      <c r="V89" s="98"/>
      <c r="W89" s="98"/>
      <c r="X89" s="99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</row>
    <row r="90" spans="1:40" ht="12.75" x14ac:dyDescent="0.2">
      <c r="A90" s="128"/>
      <c r="B90" s="101" t="s">
        <v>216</v>
      </c>
      <c r="C90" s="90"/>
      <c r="D90" s="90"/>
      <c r="E90" s="90"/>
      <c r="F90" s="90"/>
      <c r="G90" s="90"/>
      <c r="H90" s="91"/>
      <c r="I90" s="90"/>
      <c r="J90" s="90"/>
      <c r="K90" s="90"/>
      <c r="L90" s="90"/>
      <c r="M90" s="97"/>
      <c r="N90" s="92"/>
      <c r="O90" s="91"/>
      <c r="P90" s="90"/>
      <c r="Q90" s="90"/>
      <c r="R90" s="98"/>
      <c r="S90" s="98"/>
      <c r="T90" s="98"/>
      <c r="U90" s="98"/>
      <c r="V90" s="98"/>
      <c r="W90" s="98"/>
      <c r="X90" s="99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</row>
    <row r="91" spans="1:40" ht="12.75" x14ac:dyDescent="0.2">
      <c r="A91" s="128"/>
      <c r="B91" s="101" t="s">
        <v>217</v>
      </c>
      <c r="C91" s="90"/>
      <c r="D91" s="90"/>
      <c r="E91" s="90"/>
      <c r="F91" s="90"/>
      <c r="G91" s="90"/>
      <c r="H91" s="91"/>
      <c r="I91" s="90"/>
      <c r="J91" s="90"/>
      <c r="K91" s="90"/>
      <c r="L91" s="90"/>
      <c r="M91" s="97"/>
      <c r="N91" s="92">
        <v>1000</v>
      </c>
      <c r="O91" s="91"/>
      <c r="P91" s="137">
        <v>0.05</v>
      </c>
      <c r="Q91" s="90"/>
      <c r="R91" s="98" t="s">
        <v>218</v>
      </c>
      <c r="S91" s="98"/>
      <c r="T91" s="98"/>
      <c r="U91" s="98"/>
      <c r="V91" s="98"/>
      <c r="W91" s="98"/>
      <c r="X91" s="99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</row>
    <row r="92" spans="1:40" ht="12.75" x14ac:dyDescent="0.2">
      <c r="A92" s="95"/>
      <c r="B92" s="101"/>
      <c r="C92" s="102">
        <f t="shared" ref="C92:L92" si="12">SUM(C87:C91)</f>
        <v>0</v>
      </c>
      <c r="D92" s="102">
        <f t="shared" si="12"/>
        <v>0</v>
      </c>
      <c r="E92" s="102">
        <f t="shared" si="12"/>
        <v>0</v>
      </c>
      <c r="F92" s="102">
        <f t="shared" si="12"/>
        <v>0</v>
      </c>
      <c r="G92" s="102">
        <f t="shared" si="12"/>
        <v>0</v>
      </c>
      <c r="H92" s="104">
        <f t="shared" si="12"/>
        <v>0</v>
      </c>
      <c r="I92" s="102">
        <f t="shared" si="12"/>
        <v>0</v>
      </c>
      <c r="J92" s="102">
        <f t="shared" si="12"/>
        <v>0</v>
      </c>
      <c r="K92" s="102">
        <f t="shared" si="12"/>
        <v>0</v>
      </c>
      <c r="L92" s="102">
        <f t="shared" si="12"/>
        <v>0</v>
      </c>
      <c r="M92" s="105"/>
      <c r="N92" s="124">
        <f t="shared" ref="N92:O92" si="13">SUM(N87:N91)</f>
        <v>1200</v>
      </c>
      <c r="O92" s="104">
        <f t="shared" si="13"/>
        <v>0</v>
      </c>
      <c r="P92" s="133">
        <f>G92-N92</f>
        <v>-1200</v>
      </c>
      <c r="Q92" s="90"/>
      <c r="R92" s="98"/>
      <c r="S92" s="98"/>
      <c r="T92" s="98"/>
      <c r="U92" s="98"/>
      <c r="V92" s="98"/>
      <c r="W92" s="98"/>
      <c r="X92" s="99"/>
      <c r="Y92" s="95"/>
      <c r="Z92" s="95"/>
      <c r="AA92" s="95" t="s">
        <v>219</v>
      </c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</row>
    <row r="93" spans="1:40" ht="12.75" x14ac:dyDescent="0.2">
      <c r="A93" s="128" t="s">
        <v>10</v>
      </c>
      <c r="B93" s="101"/>
      <c r="C93" s="89"/>
      <c r="D93" s="89"/>
      <c r="E93" s="90"/>
      <c r="F93" s="90"/>
      <c r="G93" s="90"/>
      <c r="H93" s="91"/>
      <c r="I93" s="90"/>
      <c r="J93" s="90"/>
      <c r="K93" s="90"/>
      <c r="L93" s="90"/>
      <c r="M93" s="90"/>
      <c r="N93" s="92"/>
      <c r="O93" s="91"/>
      <c r="P93" s="90"/>
      <c r="Q93" s="90"/>
      <c r="R93" s="93"/>
      <c r="S93" s="93"/>
      <c r="T93" s="93"/>
      <c r="U93" s="93"/>
      <c r="V93" s="93"/>
      <c r="W93" s="93"/>
      <c r="X93" s="94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</row>
    <row r="94" spans="1:40" ht="12.75" x14ac:dyDescent="0.2">
      <c r="A94" s="95"/>
      <c r="B94" s="101" t="s">
        <v>220</v>
      </c>
      <c r="C94" s="90"/>
      <c r="D94" s="90"/>
      <c r="E94" s="90"/>
      <c r="F94" s="90"/>
      <c r="G94" s="90"/>
      <c r="H94" s="91"/>
      <c r="I94" s="90"/>
      <c r="J94" s="90"/>
      <c r="K94" s="90"/>
      <c r="L94" s="90"/>
      <c r="M94" s="97"/>
      <c r="N94" s="92"/>
      <c r="O94" s="91"/>
      <c r="P94" s="90"/>
      <c r="Q94" s="90"/>
      <c r="R94" s="98"/>
      <c r="S94" s="98"/>
      <c r="T94" s="98"/>
      <c r="U94" s="98" t="s">
        <v>104</v>
      </c>
      <c r="V94" s="98"/>
      <c r="W94" s="98"/>
      <c r="X94" s="99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</row>
    <row r="95" spans="1:40" ht="12.75" x14ac:dyDescent="0.2">
      <c r="A95" s="95"/>
      <c r="B95" s="101" t="s">
        <v>221</v>
      </c>
      <c r="C95" s="90"/>
      <c r="D95" s="90"/>
      <c r="E95" s="90"/>
      <c r="F95" s="90"/>
      <c r="G95" s="90"/>
      <c r="H95" s="91"/>
      <c r="I95" s="90"/>
      <c r="J95" s="90"/>
      <c r="K95" s="90"/>
      <c r="L95" s="90"/>
      <c r="M95" s="97"/>
      <c r="N95" s="92"/>
      <c r="O95" s="91"/>
      <c r="P95" s="90"/>
      <c r="Q95" s="90"/>
      <c r="R95" s="98"/>
      <c r="S95" s="98"/>
      <c r="T95" s="98"/>
      <c r="U95" s="98" t="s">
        <v>104</v>
      </c>
      <c r="V95" s="98"/>
      <c r="W95" s="98"/>
      <c r="X95" s="99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</row>
    <row r="96" spans="1:40" ht="12.75" x14ac:dyDescent="0.2">
      <c r="A96" s="95"/>
      <c r="B96" s="101"/>
      <c r="C96" s="102">
        <f t="shared" ref="C96:L96" si="14">SUM(C94:C95)</f>
        <v>0</v>
      </c>
      <c r="D96" s="102">
        <f t="shared" si="14"/>
        <v>0</v>
      </c>
      <c r="E96" s="102">
        <f t="shared" si="14"/>
        <v>0</v>
      </c>
      <c r="F96" s="102">
        <f t="shared" si="14"/>
        <v>0</v>
      </c>
      <c r="G96" s="102">
        <f t="shared" si="14"/>
        <v>0</v>
      </c>
      <c r="H96" s="104">
        <f t="shared" si="14"/>
        <v>0</v>
      </c>
      <c r="I96" s="102">
        <f t="shared" si="14"/>
        <v>0</v>
      </c>
      <c r="J96" s="102">
        <f t="shared" si="14"/>
        <v>0</v>
      </c>
      <c r="K96" s="102">
        <f t="shared" si="14"/>
        <v>0</v>
      </c>
      <c r="L96" s="102">
        <f t="shared" si="14"/>
        <v>0</v>
      </c>
      <c r="M96" s="105"/>
      <c r="N96" s="124">
        <f t="shared" ref="N96:O96" si="15">SUM(N94:N95)</f>
        <v>0</v>
      </c>
      <c r="O96" s="104">
        <f t="shared" si="15"/>
        <v>0</v>
      </c>
      <c r="P96" s="90">
        <f>G96-N96</f>
        <v>0</v>
      </c>
      <c r="Q96" s="90"/>
      <c r="R96" s="98"/>
      <c r="S96" s="98"/>
      <c r="T96" s="98"/>
      <c r="U96" s="98"/>
      <c r="V96" s="98"/>
      <c r="W96" s="98"/>
      <c r="X96" s="99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</row>
    <row r="97" spans="1:40" ht="12.75" x14ac:dyDescent="0.2">
      <c r="A97" s="128" t="s">
        <v>222</v>
      </c>
      <c r="B97" s="101"/>
      <c r="C97" s="89"/>
      <c r="D97" s="89"/>
      <c r="E97" s="90"/>
      <c r="F97" s="90"/>
      <c r="G97" s="90"/>
      <c r="H97" s="91"/>
      <c r="I97" s="90"/>
      <c r="J97" s="90"/>
      <c r="K97" s="90"/>
      <c r="L97" s="90"/>
      <c r="M97" s="90"/>
      <c r="N97" s="92"/>
      <c r="O97" s="91"/>
      <c r="P97" s="90"/>
      <c r="Q97" s="90"/>
      <c r="R97" s="93"/>
      <c r="S97" s="93"/>
      <c r="T97" s="93"/>
      <c r="U97" s="93"/>
      <c r="V97" s="93"/>
      <c r="W97" s="93" t="s">
        <v>108</v>
      </c>
      <c r="X97" s="94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</row>
    <row r="98" spans="1:40" ht="12.75" x14ac:dyDescent="0.2">
      <c r="A98" s="95"/>
      <c r="B98" s="101" t="s">
        <v>223</v>
      </c>
      <c r="C98" s="90"/>
      <c r="D98" s="90"/>
      <c r="E98" s="90"/>
      <c r="F98" s="90"/>
      <c r="G98" s="133">
        <v>18000</v>
      </c>
      <c r="H98" s="91"/>
      <c r="I98" s="90"/>
      <c r="J98" s="90"/>
      <c r="K98" s="90"/>
      <c r="L98" s="90"/>
      <c r="M98" s="97"/>
      <c r="N98" s="92"/>
      <c r="O98" s="91"/>
      <c r="P98" s="90"/>
      <c r="Q98" s="90"/>
      <c r="R98" s="98"/>
      <c r="S98" s="98"/>
      <c r="T98" s="98"/>
      <c r="U98" s="98" t="s">
        <v>104</v>
      </c>
      <c r="V98" s="98"/>
      <c r="W98" s="98" t="s">
        <v>108</v>
      </c>
      <c r="X98" s="99"/>
      <c r="Y98" s="95"/>
      <c r="Z98" s="95"/>
      <c r="AA98" s="95" t="s">
        <v>8</v>
      </c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</row>
    <row r="99" spans="1:40" ht="12.75" x14ac:dyDescent="0.2">
      <c r="A99" s="95"/>
      <c r="B99" s="101" t="s">
        <v>224</v>
      </c>
      <c r="C99" s="90"/>
      <c r="D99" s="90"/>
      <c r="E99" s="90"/>
      <c r="F99" s="90"/>
      <c r="G99" s="133">
        <v>1300</v>
      </c>
      <c r="H99" s="91"/>
      <c r="I99" s="90"/>
      <c r="J99" s="90"/>
      <c r="K99" s="90"/>
      <c r="L99" s="90"/>
      <c r="M99" s="97"/>
      <c r="N99" s="92"/>
      <c r="O99" s="91"/>
      <c r="P99" s="90"/>
      <c r="Q99" s="90"/>
      <c r="R99" s="98"/>
      <c r="S99" s="98"/>
      <c r="T99" s="98"/>
      <c r="U99" s="98" t="s">
        <v>104</v>
      </c>
      <c r="V99" s="98"/>
      <c r="W99" s="98" t="s">
        <v>108</v>
      </c>
      <c r="X99" s="99"/>
      <c r="Y99" s="95"/>
      <c r="Z99" s="95"/>
      <c r="AA99" s="95" t="s">
        <v>8</v>
      </c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</row>
    <row r="100" spans="1:40" ht="12.75" x14ac:dyDescent="0.2">
      <c r="A100" s="95"/>
      <c r="B100" s="101" t="s">
        <v>225</v>
      </c>
      <c r="C100" s="90"/>
      <c r="D100" s="90"/>
      <c r="E100" s="90"/>
      <c r="F100" s="90"/>
      <c r="G100" s="90"/>
      <c r="H100" s="91"/>
      <c r="I100" s="90"/>
      <c r="J100" s="90"/>
      <c r="K100" s="90"/>
      <c r="L100" s="90"/>
      <c r="M100" s="97"/>
      <c r="N100" s="113">
        <f>(G98+G99)*0.85-N102-500</f>
        <v>15405</v>
      </c>
      <c r="O100" s="91"/>
      <c r="P100" s="90"/>
      <c r="Q100" s="90"/>
      <c r="R100" s="98"/>
      <c r="S100" s="98"/>
      <c r="T100" s="98"/>
      <c r="U100" s="98" t="s">
        <v>104</v>
      </c>
      <c r="V100" s="98"/>
      <c r="W100" s="98" t="s">
        <v>108</v>
      </c>
      <c r="X100" s="99" t="s">
        <v>226</v>
      </c>
      <c r="Y100" s="95"/>
      <c r="Z100" s="95"/>
      <c r="AA100" s="95" t="s">
        <v>8</v>
      </c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</row>
    <row r="101" spans="1:40" ht="12.75" x14ac:dyDescent="0.2">
      <c r="A101" s="95"/>
      <c r="B101" s="101" t="s">
        <v>170</v>
      </c>
      <c r="C101" s="90"/>
      <c r="D101" s="90"/>
      <c r="E101" s="90"/>
      <c r="F101" s="90"/>
      <c r="G101" s="90"/>
      <c r="H101" s="91"/>
      <c r="I101" s="90"/>
      <c r="J101" s="90"/>
      <c r="K101" s="90"/>
      <c r="L101" s="90"/>
      <c r="M101" s="97"/>
      <c r="N101" s="92"/>
      <c r="O101" s="91"/>
      <c r="P101" s="90"/>
      <c r="Q101" s="90"/>
      <c r="R101" s="98" t="s">
        <v>227</v>
      </c>
      <c r="S101" s="98"/>
      <c r="T101" s="98"/>
      <c r="U101" s="98" t="s">
        <v>104</v>
      </c>
      <c r="V101" s="98"/>
      <c r="W101" s="98" t="s">
        <v>108</v>
      </c>
      <c r="X101" s="99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</row>
    <row r="102" spans="1:40" ht="12.75" x14ac:dyDescent="0.2">
      <c r="A102" s="95"/>
      <c r="B102" s="101" t="s">
        <v>228</v>
      </c>
      <c r="C102" s="90"/>
      <c r="D102" s="90"/>
      <c r="E102" s="90"/>
      <c r="F102" s="90"/>
      <c r="G102" s="90"/>
      <c r="H102" s="91"/>
      <c r="I102" s="90"/>
      <c r="J102" s="90"/>
      <c r="K102" s="90"/>
      <c r="L102" s="90"/>
      <c r="M102" s="97"/>
      <c r="N102" s="113">
        <v>500</v>
      </c>
      <c r="O102" s="91"/>
      <c r="P102" s="90"/>
      <c r="Q102" s="90"/>
      <c r="R102" s="98"/>
      <c r="S102" s="98"/>
      <c r="T102" s="98"/>
      <c r="U102" s="98" t="s">
        <v>104</v>
      </c>
      <c r="V102" s="98"/>
      <c r="W102" s="98" t="s">
        <v>108</v>
      </c>
      <c r="X102" s="99"/>
      <c r="Y102" s="95"/>
      <c r="Z102" s="95"/>
      <c r="AA102" s="95" t="s">
        <v>8</v>
      </c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5"/>
    </row>
    <row r="103" spans="1:40" ht="12.75" x14ac:dyDescent="0.2">
      <c r="A103" s="95"/>
      <c r="B103" s="101"/>
      <c r="C103" s="102">
        <f t="shared" ref="C103:L103" si="16">SUM(C98:C102)</f>
        <v>0</v>
      </c>
      <c r="D103" s="102">
        <f t="shared" si="16"/>
        <v>0</v>
      </c>
      <c r="E103" s="102">
        <f t="shared" si="16"/>
        <v>0</v>
      </c>
      <c r="F103" s="102">
        <f t="shared" si="16"/>
        <v>0</v>
      </c>
      <c r="G103" s="102">
        <f t="shared" si="16"/>
        <v>19300</v>
      </c>
      <c r="H103" s="104">
        <f t="shared" si="16"/>
        <v>0</v>
      </c>
      <c r="I103" s="102">
        <f t="shared" si="16"/>
        <v>0</v>
      </c>
      <c r="J103" s="102">
        <f t="shared" si="16"/>
        <v>0</v>
      </c>
      <c r="K103" s="102">
        <f t="shared" si="16"/>
        <v>0</v>
      </c>
      <c r="L103" s="102">
        <f t="shared" si="16"/>
        <v>0</v>
      </c>
      <c r="M103" s="105"/>
      <c r="N103" s="124">
        <f t="shared" ref="N103:O103" si="17">SUM(N98:N102)</f>
        <v>15905</v>
      </c>
      <c r="O103" s="104">
        <f t="shared" si="17"/>
        <v>0</v>
      </c>
      <c r="P103" s="90">
        <f>G103-N103</f>
        <v>3395</v>
      </c>
      <c r="Q103" s="90"/>
      <c r="R103" s="98"/>
      <c r="S103" s="98"/>
      <c r="T103" s="98"/>
      <c r="U103" s="98"/>
      <c r="V103" s="98"/>
      <c r="W103" s="98"/>
      <c r="X103" s="99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5"/>
    </row>
    <row r="104" spans="1:40" ht="12.75" x14ac:dyDescent="0.2">
      <c r="A104" s="87" t="s">
        <v>19</v>
      </c>
      <c r="B104" s="88"/>
      <c r="C104" s="89"/>
      <c r="D104" s="89"/>
      <c r="E104" s="90"/>
      <c r="F104" s="90"/>
      <c r="G104" s="90"/>
      <c r="H104" s="91"/>
      <c r="I104" s="90"/>
      <c r="J104" s="90"/>
      <c r="K104" s="90"/>
      <c r="L104" s="90"/>
      <c r="M104" s="90"/>
      <c r="N104" s="92"/>
      <c r="O104" s="91"/>
      <c r="P104" s="90"/>
      <c r="Q104" s="90"/>
      <c r="R104" s="93"/>
      <c r="S104" s="93"/>
      <c r="T104" s="93"/>
      <c r="U104" s="93"/>
      <c r="V104" s="93"/>
      <c r="W104" s="93" t="s">
        <v>108</v>
      </c>
      <c r="X104" s="94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</row>
    <row r="105" spans="1:40" ht="12.75" x14ac:dyDescent="0.2">
      <c r="A105" s="95"/>
      <c r="B105" s="101" t="s">
        <v>229</v>
      </c>
      <c r="C105" s="90"/>
      <c r="D105" s="90"/>
      <c r="E105" s="90"/>
      <c r="F105" s="90"/>
      <c r="G105" s="133">
        <v>21150</v>
      </c>
      <c r="H105" s="91"/>
      <c r="I105" s="90"/>
      <c r="J105" s="90"/>
      <c r="K105" s="90"/>
      <c r="L105" s="90"/>
      <c r="M105" s="97"/>
      <c r="N105" s="113">
        <v>19000</v>
      </c>
      <c r="O105" s="91"/>
      <c r="P105" s="90"/>
      <c r="Q105" s="90"/>
      <c r="R105" s="98"/>
      <c r="S105" s="98"/>
      <c r="T105" s="98"/>
      <c r="U105" s="98" t="s">
        <v>104</v>
      </c>
      <c r="V105" s="98"/>
      <c r="W105" s="98" t="s">
        <v>108</v>
      </c>
      <c r="X105" s="99"/>
      <c r="Y105" s="95"/>
      <c r="Z105" s="95"/>
      <c r="AA105" s="95" t="s">
        <v>19</v>
      </c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</row>
    <row r="106" spans="1:40" ht="12.75" x14ac:dyDescent="0.2">
      <c r="A106" s="95"/>
      <c r="B106" s="101"/>
      <c r="C106" s="90"/>
      <c r="D106" s="90"/>
      <c r="E106" s="90"/>
      <c r="F106" s="90"/>
      <c r="G106" s="90"/>
      <c r="H106" s="91"/>
      <c r="I106" s="90"/>
      <c r="J106" s="90"/>
      <c r="K106" s="90"/>
      <c r="L106" s="90"/>
      <c r="M106" s="97"/>
      <c r="N106" s="92"/>
      <c r="O106" s="91"/>
      <c r="P106" s="90"/>
      <c r="Q106" s="90"/>
      <c r="R106" s="98"/>
      <c r="S106" s="98"/>
      <c r="T106" s="98"/>
      <c r="U106" s="98"/>
      <c r="V106" s="98"/>
      <c r="W106" s="98"/>
      <c r="X106" s="99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</row>
    <row r="107" spans="1:40" ht="12.75" x14ac:dyDescent="0.2">
      <c r="A107" s="95"/>
      <c r="B107" s="101"/>
      <c r="C107" s="102">
        <f t="shared" ref="C107:L107" si="18">SUM(C105:C106)</f>
        <v>0</v>
      </c>
      <c r="D107" s="102">
        <f t="shared" si="18"/>
        <v>0</v>
      </c>
      <c r="E107" s="102">
        <f t="shared" si="18"/>
        <v>0</v>
      </c>
      <c r="F107" s="102">
        <f t="shared" si="18"/>
        <v>0</v>
      </c>
      <c r="G107" s="102">
        <f t="shared" si="18"/>
        <v>21150</v>
      </c>
      <c r="H107" s="104">
        <f t="shared" si="18"/>
        <v>0</v>
      </c>
      <c r="I107" s="102">
        <f t="shared" si="18"/>
        <v>0</v>
      </c>
      <c r="J107" s="102">
        <f t="shared" si="18"/>
        <v>0</v>
      </c>
      <c r="K107" s="102">
        <f t="shared" si="18"/>
        <v>0</v>
      </c>
      <c r="L107" s="102">
        <f t="shared" si="18"/>
        <v>0</v>
      </c>
      <c r="M107" s="105"/>
      <c r="N107" s="124">
        <f t="shared" ref="N107:O107" si="19">SUM(N105:N106)</f>
        <v>19000</v>
      </c>
      <c r="O107" s="104">
        <f t="shared" si="19"/>
        <v>0</v>
      </c>
      <c r="P107" s="133">
        <f>G107-N107</f>
        <v>2150</v>
      </c>
      <c r="Q107" s="90"/>
      <c r="R107" s="98"/>
      <c r="S107" s="98"/>
      <c r="T107" s="98"/>
      <c r="U107" s="98"/>
      <c r="V107" s="98"/>
      <c r="W107" s="98"/>
      <c r="X107" s="99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</row>
    <row r="108" spans="1:40" ht="12.75" x14ac:dyDescent="0.2">
      <c r="A108" s="138" t="s">
        <v>230</v>
      </c>
      <c r="B108" s="88"/>
      <c r="C108" s="89"/>
      <c r="D108" s="89"/>
      <c r="E108" s="90"/>
      <c r="F108" s="90"/>
      <c r="G108" s="129">
        <v>4400</v>
      </c>
      <c r="H108" s="91"/>
      <c r="I108" s="90"/>
      <c r="J108" s="90"/>
      <c r="K108" s="90"/>
      <c r="L108" s="90"/>
      <c r="M108" s="90"/>
      <c r="N108" s="92"/>
      <c r="O108" s="91"/>
      <c r="P108" s="90"/>
      <c r="Q108" s="90"/>
      <c r="R108" s="93"/>
      <c r="S108" s="93"/>
      <c r="T108" s="93"/>
      <c r="U108" s="93"/>
      <c r="V108" s="93"/>
      <c r="W108" s="93" t="s">
        <v>108</v>
      </c>
      <c r="X108" s="94"/>
      <c r="Y108" s="95"/>
      <c r="Z108" s="95"/>
      <c r="AA108" s="100" t="s">
        <v>231</v>
      </c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</row>
    <row r="109" spans="1:40" ht="12.75" x14ac:dyDescent="0.2">
      <c r="A109" s="139" t="s">
        <v>232</v>
      </c>
      <c r="B109" s="101"/>
      <c r="C109" s="140"/>
      <c r="D109" s="140"/>
      <c r="E109" s="90"/>
      <c r="F109" s="90"/>
      <c r="G109" s="90"/>
      <c r="H109" s="91"/>
      <c r="I109" s="90"/>
      <c r="J109" s="90"/>
      <c r="K109" s="90"/>
      <c r="L109" s="90"/>
      <c r="M109" s="90"/>
      <c r="N109" s="92"/>
      <c r="O109" s="91"/>
      <c r="P109" s="90"/>
      <c r="Q109" s="90"/>
      <c r="R109" s="141"/>
      <c r="S109" s="141"/>
      <c r="T109" s="141"/>
      <c r="U109" s="141" t="s">
        <v>104</v>
      </c>
      <c r="V109" s="141"/>
      <c r="W109" s="141"/>
      <c r="X109" s="142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</row>
    <row r="110" spans="1:40" ht="12.75" x14ac:dyDescent="0.2">
      <c r="A110" s="128" t="s">
        <v>233</v>
      </c>
      <c r="B110" s="143"/>
      <c r="C110" s="131">
        <f t="shared" ref="C110:D110" si="20">C17+C53+C60+C62+C65+C70+C76+C85+C92+C96+C103+C107+C109</f>
        <v>9500</v>
      </c>
      <c r="D110" s="131">
        <f t="shared" si="20"/>
        <v>11920</v>
      </c>
      <c r="E110" s="131">
        <f t="shared" ref="E110:N110" si="21">E17+E53+E60+E62+E65+E70+E76+E85+E92+E96+E103+E107+E109+E108</f>
        <v>25500</v>
      </c>
      <c r="F110" s="131">
        <f t="shared" si="21"/>
        <v>21250</v>
      </c>
      <c r="G110" s="131">
        <f t="shared" si="21"/>
        <v>87414.040000000008</v>
      </c>
      <c r="H110" s="131">
        <f t="shared" si="21"/>
        <v>0</v>
      </c>
      <c r="I110" s="131">
        <f t="shared" si="21"/>
        <v>0</v>
      </c>
      <c r="J110" s="131">
        <f t="shared" si="21"/>
        <v>0</v>
      </c>
      <c r="K110" s="131">
        <f t="shared" si="21"/>
        <v>6846</v>
      </c>
      <c r="L110" s="131">
        <f t="shared" si="21"/>
        <v>1685</v>
      </c>
      <c r="M110" s="131">
        <f t="shared" si="21"/>
        <v>0</v>
      </c>
      <c r="N110" s="144">
        <f t="shared" si="21"/>
        <v>85595.01</v>
      </c>
      <c r="O110" s="132">
        <f>O17+O53+O60+O62+O15+O70+O76+O85+O92+O96+O103+O107+O109</f>
        <v>0</v>
      </c>
      <c r="P110" s="90"/>
      <c r="Q110" s="90"/>
      <c r="R110" s="98"/>
      <c r="S110" s="98"/>
      <c r="T110" s="98"/>
      <c r="U110" s="98"/>
      <c r="V110" s="98"/>
      <c r="W110" s="98"/>
      <c r="X110" s="99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</row>
    <row r="111" spans="1:40" ht="12.75" x14ac:dyDescent="0.2">
      <c r="A111" s="95" t="s">
        <v>53</v>
      </c>
      <c r="B111" s="145">
        <v>2.5000000000000001E-2</v>
      </c>
      <c r="C111" s="90">
        <v>0</v>
      </c>
      <c r="D111" s="90">
        <v>0</v>
      </c>
      <c r="E111" s="90"/>
      <c r="F111" s="90"/>
      <c r="G111" s="90"/>
      <c r="H111" s="91"/>
      <c r="I111" s="90"/>
      <c r="J111" s="90"/>
      <c r="K111" s="90"/>
      <c r="L111" s="90"/>
      <c r="M111" s="97"/>
      <c r="N111" s="113">
        <f>N110*B111</f>
        <v>2139.8752500000001</v>
      </c>
      <c r="O111" s="91"/>
      <c r="P111" s="90"/>
      <c r="Q111" s="90"/>
      <c r="R111" s="98"/>
      <c r="S111" s="98"/>
      <c r="T111" s="98"/>
      <c r="U111" s="98" t="s">
        <v>132</v>
      </c>
      <c r="V111" s="98"/>
      <c r="W111" s="98"/>
      <c r="X111" s="99"/>
      <c r="Y111" s="95"/>
      <c r="Z111" s="95"/>
      <c r="AA111" s="95" t="s">
        <v>53</v>
      </c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</row>
    <row r="112" spans="1:40" ht="12.75" x14ac:dyDescent="0.2">
      <c r="A112" s="146" t="s">
        <v>234</v>
      </c>
      <c r="B112" s="147">
        <v>2.5000000000000001E-2</v>
      </c>
      <c r="C112" s="148"/>
      <c r="D112" s="148"/>
      <c r="E112" s="148"/>
      <c r="F112" s="148"/>
      <c r="G112" s="148"/>
      <c r="H112" s="149"/>
      <c r="I112" s="148"/>
      <c r="J112" s="148"/>
      <c r="K112" s="148"/>
      <c r="L112" s="148"/>
      <c r="M112" s="150"/>
      <c r="N112" s="151">
        <f>N110*B112</f>
        <v>2139.8752500000001</v>
      </c>
      <c r="O112" s="149"/>
      <c r="P112" s="90"/>
      <c r="Q112" s="90"/>
      <c r="R112" s="98"/>
      <c r="S112" s="98"/>
      <c r="T112" s="98"/>
      <c r="U112" s="98" t="s">
        <v>132</v>
      </c>
      <c r="V112" s="98"/>
      <c r="W112" s="98"/>
      <c r="X112" s="99"/>
      <c r="Y112" s="95"/>
      <c r="Z112" s="95"/>
      <c r="AA112" s="95" t="s">
        <v>228</v>
      </c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</row>
    <row r="113" spans="1:40" ht="12.75" x14ac:dyDescent="0.2">
      <c r="A113" s="128" t="s">
        <v>39</v>
      </c>
      <c r="B113" s="101"/>
      <c r="C113" s="131">
        <f t="shared" ref="C113:L113" si="22">C110+C111+C112</f>
        <v>9500</v>
      </c>
      <c r="D113" s="131">
        <f t="shared" si="22"/>
        <v>11920</v>
      </c>
      <c r="E113" s="131">
        <f t="shared" si="22"/>
        <v>25500</v>
      </c>
      <c r="F113" s="131">
        <f t="shared" si="22"/>
        <v>21250</v>
      </c>
      <c r="G113" s="131">
        <f t="shared" si="22"/>
        <v>87414.040000000008</v>
      </c>
      <c r="H113" s="132">
        <f t="shared" si="22"/>
        <v>0</v>
      </c>
      <c r="I113" s="131">
        <f t="shared" si="22"/>
        <v>0</v>
      </c>
      <c r="J113" s="131">
        <f t="shared" si="22"/>
        <v>0</v>
      </c>
      <c r="K113" s="131">
        <f t="shared" si="22"/>
        <v>6846</v>
      </c>
      <c r="L113" s="131">
        <f t="shared" si="22"/>
        <v>1685</v>
      </c>
      <c r="M113" s="152"/>
      <c r="N113" s="144">
        <f>N110+N111+N112</f>
        <v>89874.760499999989</v>
      </c>
      <c r="O113" s="132">
        <f t="shared" ref="O113" si="23">O110+O111+O112</f>
        <v>0</v>
      </c>
      <c r="P113" s="131">
        <f>G113-N113</f>
        <v>-2460.7204999999813</v>
      </c>
      <c r="Q113" s="90"/>
      <c r="R113" s="98"/>
      <c r="S113" s="98"/>
      <c r="T113" s="98"/>
      <c r="U113" s="98"/>
      <c r="V113" s="98"/>
      <c r="W113" s="98"/>
      <c r="X113" s="99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</row>
    <row r="114" spans="1:40" ht="12.75" x14ac:dyDescent="0.2">
      <c r="A114" s="95"/>
      <c r="B114" s="101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7"/>
      <c r="N114" s="92"/>
      <c r="O114" s="90" t="s">
        <v>235</v>
      </c>
      <c r="P114" s="90"/>
      <c r="Q114" s="90"/>
      <c r="R114" s="98"/>
      <c r="S114" s="98"/>
      <c r="T114" s="98"/>
      <c r="U114" s="98"/>
      <c r="V114" s="98"/>
      <c r="W114" s="98"/>
      <c r="X114" s="99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  <c r="AI114" s="95"/>
      <c r="AJ114" s="95"/>
      <c r="AK114" s="95"/>
      <c r="AL114" s="95"/>
      <c r="AM114" s="95"/>
      <c r="AN114" s="95"/>
    </row>
    <row r="115" spans="1:40" ht="12.75" x14ac:dyDescent="0.2">
      <c r="A115" s="128"/>
      <c r="B115" s="101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7"/>
      <c r="N115" s="92"/>
      <c r="O115" s="90"/>
      <c r="P115" s="90"/>
      <c r="Q115" s="90"/>
      <c r="R115" s="98"/>
      <c r="S115" s="98"/>
      <c r="T115" s="98"/>
      <c r="U115" s="98"/>
      <c r="V115" s="98"/>
      <c r="W115" s="98"/>
      <c r="X115" s="99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95"/>
    </row>
    <row r="116" spans="1:40" ht="12.75" x14ac:dyDescent="0.2">
      <c r="A116" s="153"/>
      <c r="B116" s="101"/>
      <c r="C116" s="90"/>
      <c r="D116" s="90"/>
      <c r="E116" s="90"/>
      <c r="F116" s="90"/>
      <c r="G116" s="90"/>
      <c r="H116" s="90"/>
      <c r="I116" s="90"/>
      <c r="J116" s="90"/>
      <c r="K116" s="90"/>
      <c r="L116" s="133" t="s">
        <v>236</v>
      </c>
      <c r="M116" s="112"/>
      <c r="N116" s="113"/>
      <c r="O116" s="90"/>
      <c r="P116" s="90"/>
      <c r="Q116" s="90"/>
      <c r="R116" s="98"/>
      <c r="S116" s="98"/>
      <c r="T116" s="98"/>
      <c r="U116" s="98"/>
      <c r="V116" s="98"/>
      <c r="W116" s="98"/>
      <c r="X116" s="99"/>
      <c r="Y116" s="95"/>
      <c r="Z116" s="95"/>
      <c r="AA116" s="95"/>
      <c r="AB116" s="95"/>
      <c r="AC116" s="95"/>
      <c r="AD116" s="95"/>
      <c r="AE116" s="95"/>
      <c r="AF116" s="95"/>
      <c r="AG116" s="95"/>
      <c r="AH116" s="95"/>
      <c r="AI116" s="95"/>
      <c r="AJ116" s="95"/>
      <c r="AK116" s="95"/>
      <c r="AL116" s="95"/>
      <c r="AM116" s="95"/>
      <c r="AN116" s="95"/>
    </row>
    <row r="117" spans="1:40" ht="12.75" x14ac:dyDescent="0.2">
      <c r="A117" s="154"/>
      <c r="B117" s="155"/>
      <c r="C117" s="90"/>
      <c r="D117" s="90"/>
      <c r="E117" s="90"/>
      <c r="F117" s="90"/>
      <c r="G117" s="90"/>
      <c r="H117" s="90"/>
      <c r="I117" s="90"/>
      <c r="J117" s="90"/>
      <c r="K117" s="90"/>
      <c r="L117" s="129" t="s">
        <v>237</v>
      </c>
      <c r="M117" s="97"/>
      <c r="N117" s="92"/>
      <c r="O117" s="90"/>
      <c r="P117" s="90"/>
      <c r="Q117" s="90"/>
      <c r="R117" s="98"/>
      <c r="S117" s="98"/>
      <c r="T117" s="98"/>
      <c r="U117" s="98"/>
      <c r="V117" s="98"/>
      <c r="W117" s="98"/>
      <c r="X117" s="99"/>
      <c r="Y117" s="95"/>
      <c r="Z117" s="95"/>
      <c r="AA117" s="95"/>
      <c r="AB117" s="95"/>
      <c r="AC117" s="95"/>
      <c r="AD117" s="95"/>
      <c r="AE117" s="95"/>
      <c r="AF117" s="95"/>
      <c r="AG117" s="95"/>
      <c r="AH117" s="95"/>
      <c r="AI117" s="95"/>
      <c r="AJ117" s="95"/>
      <c r="AK117" s="95"/>
      <c r="AL117" s="95"/>
      <c r="AM117" s="95"/>
      <c r="AN117" s="95"/>
    </row>
    <row r="118" spans="1:40" ht="12.75" x14ac:dyDescent="0.2">
      <c r="A118" s="110"/>
      <c r="B118" s="107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7"/>
      <c r="N118" s="92"/>
      <c r="O118" s="90"/>
      <c r="P118" s="90"/>
      <c r="Q118" s="90"/>
      <c r="R118" s="98"/>
      <c r="S118" s="98"/>
      <c r="T118" s="98"/>
      <c r="U118" s="98"/>
      <c r="V118" s="98"/>
      <c r="W118" s="98"/>
      <c r="X118" s="99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  <c r="AI118" s="95"/>
      <c r="AJ118" s="95"/>
      <c r="AK118" s="95"/>
      <c r="AL118" s="95"/>
      <c r="AM118" s="95"/>
      <c r="AN118" s="95"/>
    </row>
    <row r="119" spans="1:40" ht="12.75" x14ac:dyDescent="0.2">
      <c r="A119" s="154"/>
      <c r="B119" s="107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7"/>
      <c r="N119" s="92"/>
      <c r="O119" s="90"/>
      <c r="P119" s="90"/>
      <c r="Q119" s="90"/>
      <c r="R119" s="98"/>
      <c r="S119" s="98"/>
      <c r="T119" s="98"/>
      <c r="U119" s="98"/>
      <c r="V119" s="98"/>
      <c r="W119" s="98"/>
      <c r="X119" s="99"/>
      <c r="Y119" s="95"/>
      <c r="Z119" s="95"/>
      <c r="AA119" s="95"/>
      <c r="AB119" s="95"/>
      <c r="AC119" s="95"/>
      <c r="AD119" s="95"/>
      <c r="AE119" s="95"/>
      <c r="AF119" s="95"/>
      <c r="AG119" s="95"/>
      <c r="AH119" s="95"/>
      <c r="AI119" s="95"/>
      <c r="AJ119" s="95"/>
      <c r="AK119" s="95"/>
      <c r="AL119" s="95"/>
      <c r="AM119" s="95"/>
      <c r="AN119" s="95"/>
    </row>
    <row r="120" spans="1:40" ht="12.75" x14ac:dyDescent="0.2">
      <c r="A120" s="156"/>
      <c r="B120" s="157"/>
      <c r="C120" s="90"/>
      <c r="D120" s="158" t="s">
        <v>238</v>
      </c>
      <c r="E120" s="90"/>
      <c r="F120" s="90"/>
      <c r="G120" s="90"/>
      <c r="H120" s="90"/>
      <c r="I120" s="90"/>
      <c r="J120" s="90"/>
      <c r="K120" s="90"/>
      <c r="L120" s="90"/>
      <c r="M120" s="97"/>
      <c r="N120" s="92"/>
      <c r="O120" s="90"/>
      <c r="P120" s="90"/>
      <c r="Q120" s="90"/>
      <c r="R120" s="98"/>
      <c r="S120" s="98"/>
      <c r="T120" s="98"/>
      <c r="U120" s="98"/>
      <c r="V120" s="98"/>
      <c r="W120" s="98"/>
      <c r="X120" s="99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</row>
    <row r="121" spans="1:40" ht="12.75" x14ac:dyDescent="0.2">
      <c r="A121" s="156"/>
      <c r="B121" s="157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7"/>
      <c r="N121" s="92"/>
      <c r="O121" s="90"/>
      <c r="P121" s="90"/>
      <c r="Q121" s="90"/>
      <c r="R121" s="98"/>
      <c r="S121" s="98"/>
      <c r="T121" s="98"/>
      <c r="U121" s="98"/>
      <c r="V121" s="98"/>
      <c r="W121" s="98"/>
      <c r="X121" s="99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</row>
    <row r="122" spans="1:40" ht="12.75" x14ac:dyDescent="0.2">
      <c r="A122" s="156"/>
      <c r="B122" s="157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7"/>
      <c r="N122" s="92"/>
      <c r="O122" s="90"/>
      <c r="P122" s="90"/>
      <c r="Q122" s="90"/>
      <c r="R122" s="98"/>
      <c r="S122" s="98"/>
      <c r="T122" s="98"/>
      <c r="U122" s="98"/>
      <c r="V122" s="98"/>
      <c r="W122" s="98"/>
      <c r="X122" s="99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5"/>
      <c r="AN122" s="95"/>
    </row>
    <row r="123" spans="1:40" ht="12.75" x14ac:dyDescent="0.2">
      <c r="A123" s="159"/>
      <c r="B123" s="16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7"/>
      <c r="N123" s="92"/>
      <c r="O123" s="90"/>
      <c r="P123" s="90"/>
      <c r="Q123" s="90"/>
      <c r="R123" s="98"/>
      <c r="S123" s="98"/>
      <c r="T123" s="98"/>
      <c r="U123" s="98"/>
      <c r="V123" s="98"/>
      <c r="W123" s="98"/>
      <c r="X123" s="99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</row>
    <row r="124" spans="1:40" ht="12.75" x14ac:dyDescent="0.2">
      <c r="A124" s="159"/>
      <c r="B124" s="16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7"/>
      <c r="N124" s="92"/>
      <c r="O124" s="90"/>
      <c r="P124" s="90"/>
      <c r="Q124" s="90"/>
      <c r="R124" s="98"/>
      <c r="S124" s="98"/>
      <c r="T124" s="98"/>
      <c r="U124" s="98"/>
      <c r="V124" s="98"/>
      <c r="W124" s="98"/>
      <c r="X124" s="99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</row>
    <row r="125" spans="1:40" ht="12.75" x14ac:dyDescent="0.2">
      <c r="A125" s="159"/>
      <c r="B125" s="16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7"/>
      <c r="N125" s="92"/>
      <c r="O125" s="90"/>
      <c r="P125" s="90"/>
      <c r="Q125" s="90"/>
      <c r="R125" s="98"/>
      <c r="S125" s="98"/>
      <c r="T125" s="98"/>
      <c r="U125" s="98"/>
      <c r="V125" s="98"/>
      <c r="W125" s="98"/>
      <c r="X125" s="99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</row>
    <row r="126" spans="1:40" ht="12.75" x14ac:dyDescent="0.2">
      <c r="A126" s="159"/>
      <c r="B126" s="16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7"/>
      <c r="N126" s="92"/>
      <c r="O126" s="90"/>
      <c r="P126" s="90"/>
      <c r="Q126" s="90"/>
      <c r="R126" s="98"/>
      <c r="S126" s="98"/>
      <c r="T126" s="98"/>
      <c r="U126" s="98"/>
      <c r="V126" s="98"/>
      <c r="W126" s="98"/>
      <c r="X126" s="99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</row>
    <row r="127" spans="1:40" ht="12.75" x14ac:dyDescent="0.2">
      <c r="A127" s="159"/>
      <c r="B127" s="16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7"/>
      <c r="N127" s="92"/>
      <c r="O127" s="90"/>
      <c r="P127" s="90"/>
      <c r="Q127" s="90"/>
      <c r="R127" s="98"/>
      <c r="S127" s="98"/>
      <c r="T127" s="98"/>
      <c r="U127" s="98"/>
      <c r="V127" s="98"/>
      <c r="W127" s="98"/>
      <c r="X127" s="99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</row>
    <row r="128" spans="1:40" ht="12.75" x14ac:dyDescent="0.2">
      <c r="A128" s="159"/>
      <c r="B128" s="160"/>
      <c r="C128" s="161" t="s">
        <v>239</v>
      </c>
      <c r="D128" s="90"/>
      <c r="E128" s="90"/>
      <c r="F128" s="90"/>
      <c r="G128" s="90"/>
      <c r="H128" s="90"/>
      <c r="I128" s="90"/>
      <c r="J128" s="90"/>
      <c r="K128" s="90"/>
      <c r="L128" s="90"/>
      <c r="M128" s="97"/>
      <c r="N128" s="92"/>
      <c r="O128" s="90"/>
      <c r="P128" s="90"/>
      <c r="Q128" s="90"/>
      <c r="R128" s="98"/>
      <c r="S128" s="98"/>
      <c r="T128" s="98"/>
      <c r="U128" s="98"/>
      <c r="V128" s="98"/>
      <c r="W128" s="98"/>
      <c r="X128" s="99"/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</row>
    <row r="129" spans="1:40" ht="12.75" x14ac:dyDescent="0.2">
      <c r="A129" s="159"/>
      <c r="B129" s="16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7"/>
      <c r="N129" s="92"/>
      <c r="O129" s="90"/>
      <c r="P129" s="90"/>
      <c r="Q129" s="90"/>
      <c r="R129" s="98"/>
      <c r="S129" s="98"/>
      <c r="T129" s="98"/>
      <c r="U129" s="98"/>
      <c r="V129" s="98"/>
      <c r="W129" s="98"/>
      <c r="X129" s="99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</row>
    <row r="130" spans="1:40" ht="12.75" x14ac:dyDescent="0.2">
      <c r="A130" s="159"/>
      <c r="B130" s="16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7"/>
      <c r="N130" s="92"/>
      <c r="O130" s="90"/>
      <c r="P130" s="90"/>
      <c r="Q130" s="90"/>
      <c r="R130" s="98"/>
      <c r="S130" s="98"/>
      <c r="T130" s="98"/>
      <c r="U130" s="98"/>
      <c r="V130" s="98"/>
      <c r="W130" s="98"/>
      <c r="X130" s="99"/>
      <c r="Y130" s="95"/>
      <c r="Z130" s="95"/>
      <c r="AA130" s="95"/>
      <c r="AB130" s="95"/>
      <c r="AC130" s="95"/>
      <c r="AD130" s="95"/>
      <c r="AE130" s="95"/>
      <c r="AF130" s="95"/>
      <c r="AG130" s="95"/>
      <c r="AH130" s="95"/>
      <c r="AI130" s="95"/>
      <c r="AJ130" s="95"/>
      <c r="AK130" s="95"/>
      <c r="AL130" s="95"/>
      <c r="AM130" s="95"/>
      <c r="AN130" s="95"/>
    </row>
    <row r="131" spans="1:40" ht="12.75" x14ac:dyDescent="0.2">
      <c r="A131" s="159"/>
      <c r="B131" s="16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7"/>
      <c r="N131" s="92"/>
      <c r="O131" s="90"/>
      <c r="P131" s="90"/>
      <c r="Q131" s="90"/>
      <c r="R131" s="98"/>
      <c r="S131" s="98"/>
      <c r="T131" s="98"/>
      <c r="U131" s="98"/>
      <c r="V131" s="98"/>
      <c r="W131" s="98"/>
      <c r="X131" s="99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</row>
    <row r="132" spans="1:40" ht="12.75" x14ac:dyDescent="0.2">
      <c r="A132" s="159"/>
      <c r="B132" s="16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7"/>
      <c r="N132" s="92"/>
      <c r="O132" s="90"/>
      <c r="P132" s="90"/>
      <c r="Q132" s="90"/>
      <c r="R132" s="98"/>
      <c r="S132" s="98"/>
      <c r="T132" s="98"/>
      <c r="U132" s="98"/>
      <c r="V132" s="98"/>
      <c r="W132" s="98"/>
      <c r="X132" s="99"/>
      <c r="Y132" s="95"/>
      <c r="Z132" s="95"/>
      <c r="AA132" s="95"/>
      <c r="AB132" s="95"/>
      <c r="AC132" s="95"/>
      <c r="AD132" s="95"/>
      <c r="AE132" s="95"/>
      <c r="AF132" s="95"/>
      <c r="AG132" s="95"/>
      <c r="AH132" s="95"/>
      <c r="AI132" s="95"/>
      <c r="AJ132" s="95"/>
      <c r="AK132" s="95"/>
      <c r="AL132" s="95"/>
      <c r="AM132" s="95"/>
      <c r="AN132" s="95"/>
    </row>
    <row r="133" spans="1:40" ht="12.75" x14ac:dyDescent="0.2">
      <c r="A133" s="159"/>
      <c r="B133" s="16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7"/>
      <c r="N133" s="92"/>
      <c r="O133" s="90"/>
      <c r="P133" s="90"/>
      <c r="Q133" s="90"/>
      <c r="R133" s="98"/>
      <c r="S133" s="98"/>
      <c r="T133" s="98"/>
      <c r="U133" s="98"/>
      <c r="V133" s="98"/>
      <c r="W133" s="98"/>
      <c r="X133" s="99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5"/>
      <c r="AM133" s="95"/>
      <c r="AN133" s="95"/>
    </row>
    <row r="134" spans="1:40" ht="12.75" x14ac:dyDescent="0.2">
      <c r="A134" s="159"/>
      <c r="B134" s="16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7"/>
      <c r="N134" s="92"/>
      <c r="O134" s="90"/>
      <c r="P134" s="90"/>
      <c r="Q134" s="90"/>
      <c r="R134" s="98"/>
      <c r="S134" s="98"/>
      <c r="T134" s="98"/>
      <c r="U134" s="98"/>
      <c r="V134" s="98"/>
      <c r="W134" s="98"/>
      <c r="X134" s="99"/>
      <c r="Y134" s="95"/>
      <c r="Z134" s="95"/>
      <c r="AA134" s="95"/>
      <c r="AB134" s="95"/>
      <c r="AC134" s="95"/>
      <c r="AD134" s="95"/>
      <c r="AE134" s="95"/>
      <c r="AF134" s="95"/>
      <c r="AG134" s="95"/>
      <c r="AH134" s="95"/>
      <c r="AI134" s="95"/>
      <c r="AJ134" s="95"/>
      <c r="AK134" s="95"/>
      <c r="AL134" s="95"/>
      <c r="AM134" s="95"/>
      <c r="AN134" s="95"/>
    </row>
    <row r="135" spans="1:40" ht="12.75" x14ac:dyDescent="0.2">
      <c r="A135" s="159"/>
      <c r="B135" s="16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7"/>
      <c r="N135" s="92"/>
      <c r="O135" s="90"/>
      <c r="P135" s="90"/>
      <c r="Q135" s="90"/>
      <c r="R135" s="98"/>
      <c r="S135" s="98"/>
      <c r="T135" s="98"/>
      <c r="U135" s="98"/>
      <c r="V135" s="98"/>
      <c r="W135" s="98"/>
      <c r="X135" s="99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</row>
    <row r="136" spans="1:40" ht="12.75" x14ac:dyDescent="0.2">
      <c r="A136" s="162"/>
      <c r="B136" s="163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7"/>
      <c r="N136" s="92"/>
      <c r="O136" s="90"/>
      <c r="P136" s="90"/>
      <c r="Q136" s="90"/>
      <c r="R136" s="98"/>
      <c r="S136" s="98"/>
      <c r="T136" s="98"/>
      <c r="U136" s="98"/>
      <c r="V136" s="98"/>
      <c r="W136" s="98"/>
      <c r="X136" s="99"/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  <c r="AI136" s="95"/>
      <c r="AJ136" s="95"/>
      <c r="AK136" s="95"/>
      <c r="AL136" s="95"/>
      <c r="AM136" s="95"/>
      <c r="AN136" s="95"/>
    </row>
    <row r="137" spans="1:40" ht="12.75" x14ac:dyDescent="0.2">
      <c r="A137" s="162"/>
      <c r="B137" s="163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7"/>
      <c r="N137" s="92"/>
      <c r="O137" s="90"/>
      <c r="P137" s="90"/>
      <c r="Q137" s="90"/>
      <c r="R137" s="98"/>
      <c r="S137" s="98"/>
      <c r="T137" s="98"/>
      <c r="U137" s="98"/>
      <c r="V137" s="98"/>
      <c r="W137" s="98"/>
      <c r="X137" s="99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</row>
    <row r="138" spans="1:40" ht="12.75" x14ac:dyDescent="0.2">
      <c r="A138" s="154"/>
      <c r="B138" s="107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7"/>
      <c r="N138" s="92"/>
      <c r="O138" s="90"/>
      <c r="P138" s="90"/>
      <c r="Q138" s="90"/>
      <c r="R138" s="98"/>
      <c r="S138" s="98"/>
      <c r="T138" s="98"/>
      <c r="U138" s="98"/>
      <c r="V138" s="98"/>
      <c r="W138" s="98"/>
      <c r="X138" s="99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  <c r="AI138" s="95"/>
      <c r="AJ138" s="95"/>
      <c r="AK138" s="95"/>
      <c r="AL138" s="95"/>
      <c r="AM138" s="95"/>
      <c r="AN138" s="95"/>
    </row>
    <row r="139" spans="1:40" ht="12.75" x14ac:dyDescent="0.2">
      <c r="A139" s="154"/>
      <c r="B139" s="107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7"/>
      <c r="N139" s="92"/>
      <c r="O139" s="90"/>
      <c r="P139" s="90"/>
      <c r="Q139" s="90"/>
      <c r="R139" s="98"/>
      <c r="S139" s="98"/>
      <c r="T139" s="98"/>
      <c r="U139" s="98"/>
      <c r="V139" s="98"/>
      <c r="W139" s="98"/>
      <c r="X139" s="99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</row>
    <row r="140" spans="1:40" ht="12.75" x14ac:dyDescent="0.2">
      <c r="A140" s="154"/>
      <c r="B140" s="107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7"/>
      <c r="N140" s="92"/>
      <c r="O140" s="90"/>
      <c r="P140" s="90"/>
      <c r="Q140" s="90"/>
      <c r="R140" s="98"/>
      <c r="S140" s="98"/>
      <c r="T140" s="98"/>
      <c r="U140" s="98"/>
      <c r="V140" s="98"/>
      <c r="W140" s="98"/>
      <c r="X140" s="99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5"/>
    </row>
    <row r="141" spans="1:40" ht="12.75" x14ac:dyDescent="0.2">
      <c r="A141" s="154"/>
      <c r="B141" s="107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7"/>
      <c r="N141" s="92"/>
      <c r="O141" s="90"/>
      <c r="P141" s="90"/>
      <c r="Q141" s="90"/>
      <c r="R141" s="98"/>
      <c r="S141" s="98"/>
      <c r="T141" s="98"/>
      <c r="U141" s="98"/>
      <c r="V141" s="98"/>
      <c r="W141" s="98"/>
      <c r="X141" s="99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</row>
    <row r="142" spans="1:40" ht="12.75" x14ac:dyDescent="0.2">
      <c r="A142" s="154"/>
      <c r="B142" s="107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7"/>
      <c r="N142" s="92"/>
      <c r="O142" s="90"/>
      <c r="P142" s="90"/>
      <c r="Q142" s="90"/>
      <c r="R142" s="98"/>
      <c r="S142" s="98"/>
      <c r="T142" s="98"/>
      <c r="U142" s="98"/>
      <c r="V142" s="98"/>
      <c r="W142" s="98"/>
      <c r="X142" s="99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</row>
    <row r="143" spans="1:40" ht="12.75" x14ac:dyDescent="0.2">
      <c r="A143" s="154"/>
      <c r="B143" s="107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7"/>
      <c r="N143" s="92"/>
      <c r="O143" s="90"/>
      <c r="P143" s="90"/>
      <c r="Q143" s="90"/>
      <c r="R143" s="98"/>
      <c r="S143" s="98"/>
      <c r="T143" s="98"/>
      <c r="U143" s="98"/>
      <c r="V143" s="98"/>
      <c r="W143" s="98"/>
      <c r="X143" s="99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</row>
    <row r="144" spans="1:40" ht="12.75" x14ac:dyDescent="0.2">
      <c r="A144" s="154"/>
      <c r="B144" s="107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7"/>
      <c r="N144" s="92"/>
      <c r="O144" s="90"/>
      <c r="P144" s="90"/>
      <c r="Q144" s="90"/>
      <c r="R144" s="98"/>
      <c r="S144" s="98"/>
      <c r="T144" s="98"/>
      <c r="U144" s="98"/>
      <c r="V144" s="98"/>
      <c r="W144" s="98"/>
      <c r="X144" s="99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5"/>
    </row>
    <row r="145" spans="1:40" ht="12.75" x14ac:dyDescent="0.2">
      <c r="A145" s="154"/>
      <c r="B145" s="107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7"/>
      <c r="N145" s="92"/>
      <c r="O145" s="90"/>
      <c r="P145" s="90"/>
      <c r="Q145" s="90"/>
      <c r="R145" s="98"/>
      <c r="S145" s="98"/>
      <c r="T145" s="98"/>
      <c r="U145" s="98"/>
      <c r="V145" s="98"/>
      <c r="W145" s="98"/>
      <c r="X145" s="99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95"/>
      <c r="AM145" s="95"/>
      <c r="AN145" s="95"/>
    </row>
    <row r="146" spans="1:40" ht="12.75" x14ac:dyDescent="0.2">
      <c r="A146" s="154"/>
      <c r="B146" s="107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7"/>
      <c r="N146" s="92"/>
      <c r="O146" s="90"/>
      <c r="P146" s="90"/>
      <c r="Q146" s="90"/>
      <c r="R146" s="98"/>
      <c r="S146" s="98"/>
      <c r="T146" s="98"/>
      <c r="U146" s="98"/>
      <c r="V146" s="98"/>
      <c r="W146" s="98"/>
      <c r="X146" s="99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</row>
    <row r="147" spans="1:40" ht="12.75" x14ac:dyDescent="0.2">
      <c r="A147" s="154"/>
      <c r="B147" s="107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7"/>
      <c r="N147" s="92"/>
      <c r="O147" s="90"/>
      <c r="P147" s="90"/>
      <c r="Q147" s="90"/>
      <c r="R147" s="98"/>
      <c r="S147" s="98"/>
      <c r="T147" s="98"/>
      <c r="U147" s="98"/>
      <c r="V147" s="98"/>
      <c r="W147" s="98"/>
      <c r="X147" s="99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</row>
    <row r="148" spans="1:40" ht="12.75" x14ac:dyDescent="0.2">
      <c r="A148" s="154"/>
      <c r="B148" s="107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7"/>
      <c r="N148" s="92"/>
      <c r="O148" s="90"/>
      <c r="P148" s="90"/>
      <c r="Q148" s="90"/>
      <c r="R148" s="98"/>
      <c r="S148" s="98"/>
      <c r="T148" s="98"/>
      <c r="U148" s="98"/>
      <c r="V148" s="98"/>
      <c r="W148" s="98"/>
      <c r="X148" s="99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95"/>
      <c r="AM148" s="95"/>
      <c r="AN148" s="95"/>
    </row>
    <row r="149" spans="1:40" ht="12.75" x14ac:dyDescent="0.2">
      <c r="A149" s="154"/>
      <c r="B149" s="107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7"/>
      <c r="N149" s="92"/>
      <c r="O149" s="90"/>
      <c r="P149" s="90"/>
      <c r="Q149" s="90"/>
      <c r="R149" s="98"/>
      <c r="S149" s="98"/>
      <c r="T149" s="98"/>
      <c r="U149" s="98"/>
      <c r="V149" s="98"/>
      <c r="W149" s="98"/>
      <c r="X149" s="99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</row>
  </sheetData>
  <mergeCells count="18">
    <mergeCell ref="T1:T3"/>
    <mergeCell ref="U1:U3"/>
    <mergeCell ref="Y2:Z2"/>
    <mergeCell ref="A55:A56"/>
    <mergeCell ref="V1:V3"/>
    <mergeCell ref="W1:W3"/>
    <mergeCell ref="X1:X3"/>
    <mergeCell ref="Y1:Z1"/>
    <mergeCell ref="C2:D2"/>
    <mergeCell ref="E2:F2"/>
    <mergeCell ref="G2:H2"/>
    <mergeCell ref="I2:J2"/>
    <mergeCell ref="K2:L2"/>
    <mergeCell ref="M2:O2"/>
    <mergeCell ref="C1:H1"/>
    <mergeCell ref="I1:O1"/>
    <mergeCell ref="R1:R3"/>
    <mergeCell ref="S1:S3"/>
  </mergeCells>
  <dataValidations count="1">
    <dataValidation type="list" allowBlank="1" sqref="A11 A63" xr:uid="{440D7246-4D71-498C-81B3-F36262E89C38}">
      <formula1>"Pending,Approved,Denied,Dropped"</formula1>
    </dataValidation>
  </dataValidations>
  <hyperlinks>
    <hyperlink ref="R1" r:id="rId1" xr:uid="{6E489E12-596B-449A-AE69-8D04008178F2}"/>
    <hyperlink ref="S1" r:id="rId2" xr:uid="{6946D29E-D761-4039-9EAB-1AC5667CCFDB}"/>
    <hyperlink ref="T1" r:id="rId3" xr:uid="{8F18076D-4BDD-44C2-9947-0D52C85A18DB}"/>
    <hyperlink ref="U1" r:id="rId4" location="toc9" xr:uid="{D5499401-B726-4EA5-AE14-06815478F740}"/>
    <hyperlink ref="A2" r:id="rId5" xr:uid="{7C69870E-32AB-40EF-A581-F6CE65076E55}"/>
    <hyperlink ref="B2" r:id="rId6" xr:uid="{AEA7481C-DC03-4081-A7B2-054B283E0A23}"/>
    <hyperlink ref="Y2" r:id="rId7" xr:uid="{96BEA51E-4EFD-401D-A089-52B1203395AF}"/>
    <hyperlink ref="A3" r:id="rId8" xr:uid="{FD12961F-781D-4852-ACBB-20401C5E43AF}"/>
    <hyperlink ref="K3" r:id="rId9" xr:uid="{0CE85529-1A62-447F-B12F-4604753A632A}"/>
    <hyperlink ref="B5" r:id="rId10" xr:uid="{6C3F1EA3-53D3-4711-8F4F-7C1849BCE7AF}"/>
    <hyperlink ref="B6" r:id="rId11" xr:uid="{CAB2DBF0-BFFF-4FE4-9A04-ABAB4A82BAA2}"/>
    <hyperlink ref="B7" r:id="rId12" xr:uid="{87F19AFC-9593-4595-909D-1C8370D78B3B}"/>
    <hyperlink ref="B8" r:id="rId13" xr:uid="{6F7D4703-D677-4A73-B935-18B68392D841}"/>
    <hyperlink ref="B9" r:id="rId14" xr:uid="{319D4670-EDF8-4D41-973C-FB1E6DE671C8}"/>
    <hyperlink ref="B10" r:id="rId15" xr:uid="{630EAFDC-31FF-4CCF-B872-23CA965F8339}"/>
    <hyperlink ref="B11" r:id="rId16" xr:uid="{170C635F-4967-43BB-B17A-EEB827898C26}"/>
    <hyperlink ref="B12" r:id="rId17" xr:uid="{EE7B352C-08E0-4820-A1F0-724A5BBE553A}"/>
    <hyperlink ref="B13" r:id="rId18" xr:uid="{ACBFADF4-06B5-4F68-90E6-D262238AEA61}"/>
    <hyperlink ref="B14" r:id="rId19" xr:uid="{141501DD-86A5-4B93-9217-31F10F8391EA}"/>
    <hyperlink ref="B15" r:id="rId20" xr:uid="{ED946DAF-FAB5-4BD3-8C3E-24F9FAABC7CF}"/>
    <hyperlink ref="B16" r:id="rId21" xr:uid="{AACC11F5-8313-43A1-ABDE-C10CD49ADCC7}"/>
    <hyperlink ref="B21" r:id="rId22" xr:uid="{A8710EF8-2912-4C63-806C-FD72F47CF053}"/>
    <hyperlink ref="B27" r:id="rId23" xr:uid="{DAC75102-E312-4689-BE2F-B20C9CD01338}"/>
    <hyperlink ref="B31" r:id="rId24" xr:uid="{7218B40D-2C5B-4E20-8695-C0F3B50F0220}"/>
    <hyperlink ref="B37" r:id="rId25" xr:uid="{3CE6DCE0-A47E-460E-8363-513CD27BE2BC}"/>
    <hyperlink ref="B38" r:id="rId26" xr:uid="{097D070D-AE90-420B-A83C-B18A9D2A5723}"/>
    <hyperlink ref="N38" r:id="rId27" display="https://charityvillage.com/learning-centre/courses/management-leadership-bundle/" xr:uid="{BDD32A91-D2ED-499C-AA71-026780D8F43F}"/>
    <hyperlink ref="B39" r:id="rId28" xr:uid="{8E650090-7390-447E-8AA4-E72D553188B5}"/>
    <hyperlink ref="B40" r:id="rId29" xr:uid="{A86A7F49-9670-44E1-9197-958BE34BC038}"/>
    <hyperlink ref="B41" r:id="rId30" xr:uid="{14406345-8C1D-41EC-811A-C96BF9737BB1}"/>
    <hyperlink ref="B42" r:id="rId31" xr:uid="{99EA2BAB-C6C4-4DA7-AA54-3061B9B51E4E}"/>
    <hyperlink ref="B43" r:id="rId32" xr:uid="{32D4D9A8-7B50-4021-A16C-14F7E0866AA6}"/>
    <hyperlink ref="B44" r:id="rId33" xr:uid="{301478B8-A0C0-49DF-9E81-22146831E961}"/>
    <hyperlink ref="B45" r:id="rId34" xr:uid="{CA2F20D6-875D-4373-AEA3-1E7A2CFB134A}"/>
    <hyperlink ref="B46" r:id="rId35" xr:uid="{A754C284-B76E-4F5B-8437-182351C375CF}"/>
    <hyperlink ref="B47" r:id="rId36" xr:uid="{47A303F3-D24E-4FB3-9012-C41F4680A885}"/>
    <hyperlink ref="B48" r:id="rId37" xr:uid="{93DADD1C-6D08-4DD2-A507-6ACE5ADE835B}"/>
    <hyperlink ref="B51" r:id="rId38" xr:uid="{CCC8A86B-439C-48F2-817D-899C436B93D6}"/>
    <hyperlink ref="A55" r:id="rId39" location="toc9" xr:uid="{C34B443A-33A4-44AF-A609-4190493EA98D}"/>
    <hyperlink ref="B55" r:id="rId40" xr:uid="{0EAD98C0-DC07-44BF-B0CD-412D6088AB80}"/>
    <hyperlink ref="B56" r:id="rId41" xr:uid="{AA5E6C18-48B6-49DE-ACCC-E4094C3B9BBC}"/>
    <hyperlink ref="B57" r:id="rId42" xr:uid="{92361A3C-897B-450D-9694-0F4EBE423714}"/>
    <hyperlink ref="B58" r:id="rId43" xr:uid="{7C10C28B-B894-4337-B79A-16E68984A7E3}"/>
    <hyperlink ref="N58" r:id="rId44" display="https://charityvillage.com/learning-centre/courses/fundraising-bundle/" xr:uid="{C0F500A4-F4AB-4E7D-BCAD-05BA3662EDDB}"/>
    <hyperlink ref="B67" r:id="rId45" xr:uid="{C5BCEA6E-8F3E-4527-B19D-967D24E2541A}"/>
    <hyperlink ref="B68" r:id="rId46" xr:uid="{142CF0C5-6589-409D-BD61-E59F4339BF3D}"/>
    <hyperlink ref="B72" r:id="rId47" xr:uid="{29A128BA-6ECD-4F69-9466-CC47A5168CFE}"/>
    <hyperlink ref="B73" r:id="rId48" xr:uid="{93B6964D-32A1-49E8-9A4D-419C757E3B66}"/>
    <hyperlink ref="B78" r:id="rId49" xr:uid="{D047D39B-D554-49AB-95C1-A4106987A7EB}"/>
    <hyperlink ref="B79" r:id="rId50" xr:uid="{A926087D-114B-4FDA-8F7C-35589309990B}"/>
    <hyperlink ref="B80" r:id="rId51" xr:uid="{CFB15DA0-1269-4B55-892D-69BED6268BD1}"/>
    <hyperlink ref="B81" r:id="rId52" xr:uid="{B18F11DE-6BC9-4565-BCC9-D5422FBAB0D0}"/>
    <hyperlink ref="B82" r:id="rId53" xr:uid="{1521C4E3-6E7C-4DB2-8216-E12359B284E3}"/>
    <hyperlink ref="N82" r:id="rId54" display="https://charityvillage.com/learning-centre/courses/special-events-bundle/" xr:uid="{464DCB77-10C8-4758-BF56-7861DF05FFF3}"/>
    <hyperlink ref="B84" r:id="rId55" xr:uid="{3268190E-19CF-4DCD-A3E4-33BD9CDB12F7}"/>
    <hyperlink ref="B89" r:id="rId56" xr:uid="{20C9F71D-6EE6-422A-8279-D9494F2C0C1A}"/>
    <hyperlink ref="D120" r:id="rId57" xr:uid="{F1687660-C336-4118-9F0C-F8FE98CAE2F4}"/>
    <hyperlink ref="C128" r:id="rId58" xr:uid="{53D82691-51FA-4A3D-B2AB-20BB1E03FE0C}"/>
  </hyperlinks>
  <pageMargins left="0.7" right="0.7" top="0.75" bottom="0.75" header="0.3" footer="0.3"/>
  <pageSetup orientation="portrait" horizontalDpi="300" verticalDpi="300"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14</vt:i4>
      </vt:variant>
    </vt:vector>
  </HeadingPairs>
  <TitlesOfParts>
    <vt:vector size="18" baseType="lpstr">
      <vt:lpstr>Income Stmt v.2</vt:lpstr>
      <vt:lpstr>Summary</vt:lpstr>
      <vt:lpstr>Income Stmt v.1</vt:lpstr>
      <vt:lpstr>CR budget</vt:lpstr>
      <vt:lpstr>Summary!ACUgrant</vt:lpstr>
      <vt:lpstr>Summary!AuditRevenue</vt:lpstr>
      <vt:lpstr>Summary!BaseSalary</vt:lpstr>
      <vt:lpstr>Summary!BESTgrant</vt:lpstr>
      <vt:lpstr>Summary!BVrevenue</vt:lpstr>
      <vt:lpstr>Summary!CSJgrant</vt:lpstr>
      <vt:lpstr>Summary!DMIgrant</vt:lpstr>
      <vt:lpstr>Summary!DoorsOpenGrant</vt:lpstr>
      <vt:lpstr>Summary!HeritageGrant</vt:lpstr>
      <vt:lpstr>'Income Stmt v.1'!Print_Area</vt:lpstr>
      <vt:lpstr>'Income Stmt v.2'!Print_Area</vt:lpstr>
      <vt:lpstr>'Income Stmt v.1'!Print_Titles</vt:lpstr>
      <vt:lpstr>'Income Stmt v.2'!Print_Titles</vt:lpstr>
      <vt:lpstr>Summary!RackRevenue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Misty Bromley</dc:creator>
  <cp:lastModifiedBy>Misty Bromley</cp:lastModifiedBy>
  <cp:lastPrinted>2022-04-04T16:51:22Z</cp:lastPrinted>
  <dcterms:created xsi:type="dcterms:W3CDTF">2018-03-29T21:40:09Z</dcterms:created>
  <dcterms:modified xsi:type="dcterms:W3CDTF">2022-05-03T20:33:11Z</dcterms:modified>
</cp:coreProperties>
</file>