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BikeWinnipeg\BW 2022 financial\"/>
    </mc:Choice>
  </mc:AlternateContent>
  <xr:revisionPtr revIDLastSave="0" documentId="13_ncr:1_{ABB8CC06-7391-49B6-96CA-4282419DC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come Stmt" sheetId="1" r:id="rId1"/>
    <sheet name="CR budget" sheetId="7" r:id="rId2"/>
  </sheets>
  <externalReferences>
    <externalReference r:id="rId3"/>
  </externalReferences>
  <definedNames>
    <definedName name="ACUgrant">[1]Summary!$E$21</definedName>
    <definedName name="AuditRevenue">[1]Summary!$E$26</definedName>
    <definedName name="BaseSalary">[1]Summary!$Q$1</definedName>
    <definedName name="BESTgrant">[1]Summary!$E$18</definedName>
    <definedName name="BVrevenue">[1]Summary!$E$24</definedName>
    <definedName name="CSJgrant">[1]Summary!$E$15</definedName>
    <definedName name="DMIgrant">[1]Summary!$E$22</definedName>
    <definedName name="DoorsOpenGrant">[1]Summary!$E$19</definedName>
    <definedName name="HeritageGrant">[1]Summary!$E$17</definedName>
    <definedName name="_xlnm.Print_Area" localSheetId="0">'Income Stmt'!$A$1:$P$92</definedName>
    <definedName name="_xlnm.Print_Titles" localSheetId="0">'Income Stmt'!$1:$8</definedName>
    <definedName name="RackRevenue">[1]Summary!$E$27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0" i="7" l="1"/>
  <c r="O107" i="7"/>
  <c r="N107" i="7"/>
  <c r="L107" i="7"/>
  <c r="K107" i="7"/>
  <c r="J107" i="7"/>
  <c r="I107" i="7"/>
  <c r="H107" i="7"/>
  <c r="G107" i="7"/>
  <c r="P107" i="7" s="1"/>
  <c r="F107" i="7"/>
  <c r="E107" i="7"/>
  <c r="D107" i="7"/>
  <c r="C107" i="7"/>
  <c r="O103" i="7"/>
  <c r="L103" i="7"/>
  <c r="K103" i="7"/>
  <c r="J103" i="7"/>
  <c r="I103" i="7"/>
  <c r="H103" i="7"/>
  <c r="G103" i="7"/>
  <c r="F103" i="7"/>
  <c r="E103" i="7"/>
  <c r="D103" i="7"/>
  <c r="C103" i="7"/>
  <c r="N100" i="7"/>
  <c r="N103" i="7" s="1"/>
  <c r="O96" i="7"/>
  <c r="N96" i="7"/>
  <c r="L96" i="7"/>
  <c r="K96" i="7"/>
  <c r="J96" i="7"/>
  <c r="I96" i="7"/>
  <c r="H96" i="7"/>
  <c r="G96" i="7"/>
  <c r="P96" i="7" s="1"/>
  <c r="F96" i="7"/>
  <c r="E96" i="7"/>
  <c r="D96" i="7"/>
  <c r="C96" i="7"/>
  <c r="P92" i="7"/>
  <c r="O92" i="7"/>
  <c r="N92" i="7"/>
  <c r="L92" i="7"/>
  <c r="K92" i="7"/>
  <c r="J92" i="7"/>
  <c r="I92" i="7"/>
  <c r="H92" i="7"/>
  <c r="G92" i="7"/>
  <c r="F92" i="7"/>
  <c r="E92" i="7"/>
  <c r="D92" i="7"/>
  <c r="C92" i="7"/>
  <c r="P85" i="7"/>
  <c r="O85" i="7"/>
  <c r="N85" i="7"/>
  <c r="L85" i="7"/>
  <c r="K85" i="7"/>
  <c r="J85" i="7"/>
  <c r="I85" i="7"/>
  <c r="H85" i="7"/>
  <c r="G85" i="7"/>
  <c r="F85" i="7"/>
  <c r="E85" i="7"/>
  <c r="D85" i="7"/>
  <c r="C85" i="7"/>
  <c r="O76" i="7"/>
  <c r="O110" i="7" s="1"/>
  <c r="O113" i="7" s="1"/>
  <c r="N76" i="7"/>
  <c r="P76" i="7" s="1"/>
  <c r="L76" i="7"/>
  <c r="K76" i="7"/>
  <c r="J76" i="7"/>
  <c r="I76" i="7"/>
  <c r="H76" i="7"/>
  <c r="G76" i="7"/>
  <c r="F76" i="7"/>
  <c r="E76" i="7"/>
  <c r="D76" i="7"/>
  <c r="C76" i="7"/>
  <c r="O70" i="7"/>
  <c r="N70" i="7"/>
  <c r="L70" i="7"/>
  <c r="K70" i="7"/>
  <c r="J70" i="7"/>
  <c r="I70" i="7"/>
  <c r="H70" i="7"/>
  <c r="G70" i="7"/>
  <c r="P70" i="7" s="1"/>
  <c r="F70" i="7"/>
  <c r="E70" i="7"/>
  <c r="D70" i="7"/>
  <c r="C70" i="7"/>
  <c r="G63" i="7"/>
  <c r="O60" i="7"/>
  <c r="N60" i="7"/>
  <c r="L60" i="7"/>
  <c r="K60" i="7"/>
  <c r="J60" i="7"/>
  <c r="I60" i="7"/>
  <c r="H60" i="7"/>
  <c r="G60" i="7"/>
  <c r="P60" i="7" s="1"/>
  <c r="F60" i="7"/>
  <c r="E60" i="7"/>
  <c r="D60" i="7"/>
  <c r="C60" i="7"/>
  <c r="O53" i="7"/>
  <c r="L53" i="7"/>
  <c r="K53" i="7"/>
  <c r="J53" i="7"/>
  <c r="I53" i="7"/>
  <c r="H53" i="7"/>
  <c r="G53" i="7"/>
  <c r="P53" i="7" s="1"/>
  <c r="F53" i="7"/>
  <c r="F110" i="7" s="1"/>
  <c r="F113" i="7" s="1"/>
  <c r="E53" i="7"/>
  <c r="D53" i="7"/>
  <c r="C53" i="7"/>
  <c r="N50" i="7"/>
  <c r="N34" i="7"/>
  <c r="N29" i="7"/>
  <c r="M28" i="7"/>
  <c r="M20" i="7"/>
  <c r="N23" i="7" s="1"/>
  <c r="N53" i="7" s="1"/>
  <c r="O17" i="7"/>
  <c r="L17" i="7"/>
  <c r="L110" i="7" s="1"/>
  <c r="L113" i="7" s="1"/>
  <c r="K17" i="7"/>
  <c r="K110" i="7" s="1"/>
  <c r="K113" i="7" s="1"/>
  <c r="J17" i="7"/>
  <c r="J110" i="7" s="1"/>
  <c r="J113" i="7" s="1"/>
  <c r="I17" i="7"/>
  <c r="I110" i="7" s="1"/>
  <c r="I113" i="7" s="1"/>
  <c r="H17" i="7"/>
  <c r="H110" i="7" s="1"/>
  <c r="H113" i="7" s="1"/>
  <c r="F17" i="7"/>
  <c r="E17" i="7"/>
  <c r="E110" i="7" s="1"/>
  <c r="E113" i="7" s="1"/>
  <c r="D17" i="7"/>
  <c r="D110" i="7" s="1"/>
  <c r="D113" i="7" s="1"/>
  <c r="C17" i="7"/>
  <c r="C110" i="7" s="1"/>
  <c r="C113" i="7" s="1"/>
  <c r="G11" i="7"/>
  <c r="N11" i="7" s="1"/>
  <c r="N17" i="7" s="1"/>
  <c r="N110" i="7" s="1"/>
  <c r="N112" i="7" l="1"/>
  <c r="N113" i="7" s="1"/>
  <c r="N111" i="7"/>
  <c r="P103" i="7"/>
  <c r="G17" i="7"/>
  <c r="E66" i="1"/>
  <c r="E28" i="1"/>
  <c r="E26" i="1"/>
  <c r="G110" i="7" l="1"/>
  <c r="G113" i="7" s="1"/>
  <c r="P113" i="7" s="1"/>
  <c r="P17" i="7"/>
  <c r="E105" i="1"/>
  <c r="E109" i="1" s="1"/>
  <c r="E103" i="1"/>
  <c r="E99" i="1"/>
  <c r="E88" i="1"/>
  <c r="F70" i="1"/>
  <c r="E25" i="1"/>
  <c r="F90" i="1"/>
  <c r="E10" i="1"/>
  <c r="E23" i="1"/>
  <c r="E27" i="1"/>
  <c r="N90" i="1" l="1"/>
  <c r="M88" i="1"/>
  <c r="N83" i="1"/>
  <c r="N77" i="1"/>
  <c r="N70" i="1"/>
  <c r="M42" i="1"/>
  <c r="N33" i="1"/>
  <c r="M26" i="1"/>
  <c r="M25" i="1"/>
  <c r="M23" i="1"/>
  <c r="M13" i="1"/>
  <c r="M10" i="1"/>
  <c r="N15" i="1" s="1"/>
  <c r="N35" i="1" s="1"/>
  <c r="N92" i="1" s="1"/>
  <c r="N96" i="1" s="1"/>
  <c r="P22" i="1" l="1"/>
  <c r="K22" i="1"/>
  <c r="P13" i="1" l="1"/>
  <c r="K13" i="1"/>
  <c r="H10" i="1" l="1"/>
  <c r="P87" i="1" l="1"/>
  <c r="K87" i="1"/>
  <c r="P29" i="1" l="1"/>
  <c r="K29" i="1"/>
  <c r="P31" i="1"/>
  <c r="P30" i="1"/>
  <c r="K31" i="1"/>
  <c r="K30" i="1"/>
  <c r="H75" i="1"/>
  <c r="I77" i="1" s="1"/>
  <c r="H86" i="1"/>
  <c r="H20" i="1"/>
  <c r="H19" i="1"/>
  <c r="H27" i="1"/>
  <c r="H25" i="1"/>
  <c r="H23" i="1"/>
  <c r="H24" i="1"/>
  <c r="H88" i="1"/>
  <c r="I15" i="1"/>
  <c r="I83" i="1"/>
  <c r="I90" i="1" l="1"/>
  <c r="I33" i="1"/>
  <c r="I35" i="1" s="1"/>
  <c r="P70" i="1" l="1"/>
  <c r="K19" i="1" l="1"/>
  <c r="K20" i="1"/>
  <c r="K21" i="1"/>
  <c r="K24" i="1"/>
  <c r="K28" i="1"/>
  <c r="K18" i="1"/>
  <c r="P28" i="1"/>
  <c r="P23" i="1"/>
  <c r="P21" i="1"/>
  <c r="P20" i="1"/>
  <c r="P18" i="1"/>
  <c r="K74" i="1" l="1"/>
  <c r="P74" i="1"/>
  <c r="I70" i="1"/>
  <c r="I92" i="1" l="1"/>
  <c r="I96" i="1" s="1"/>
  <c r="F33" i="1"/>
  <c r="P26" i="1"/>
  <c r="K27" i="1" l="1"/>
  <c r="K26" i="1"/>
  <c r="K25" i="1"/>
  <c r="K23" i="1"/>
  <c r="P27" i="1" l="1"/>
  <c r="P25" i="1"/>
  <c r="P24" i="1"/>
  <c r="P19" i="1"/>
  <c r="K11" i="1" l="1"/>
  <c r="K10" i="1" l="1"/>
  <c r="F77" i="1"/>
  <c r="P75" i="1"/>
  <c r="K75" i="1"/>
  <c r="P77" i="1" l="1"/>
  <c r="K77" i="1"/>
  <c r="K81" i="1"/>
  <c r="K80" i="1"/>
  <c r="P88" i="1"/>
  <c r="P86" i="1"/>
  <c r="P81" i="1"/>
  <c r="P80" i="1"/>
  <c r="K88" i="1"/>
  <c r="K86" i="1"/>
  <c r="K90" i="1" l="1"/>
  <c r="K83" i="1"/>
  <c r="P12" i="1"/>
  <c r="P11" i="1"/>
  <c r="P10" i="1"/>
  <c r="K12" i="1"/>
  <c r="F15" i="1"/>
  <c r="P90" i="1"/>
  <c r="F83" i="1"/>
  <c r="P83" i="1" l="1"/>
  <c r="P15" i="1"/>
  <c r="K15" i="1"/>
  <c r="K33" i="1" l="1"/>
  <c r="P33" i="1"/>
  <c r="F35" i="1"/>
  <c r="F92" i="1" s="1"/>
  <c r="P92" i="1" l="1"/>
  <c r="K92" i="1"/>
  <c r="P35" i="1"/>
  <c r="K35" i="1"/>
  <c r="F9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Misty Bromley</author>
    <author>Emilio Torres</author>
  </authors>
  <commentList>
    <comment ref="E25" authorId="0" shapeId="0" xr:uid="{77148D87-5DF9-49DB-9469-1B5A0115CF11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AGM, Bank charges, Dreamhost, Insurance, Other G&amp;A, and Paypal fees expense accounts in this cell.
</t>
        </r>
      </text>
    </comment>
    <comment ref="M25" authorId="0" shapeId="0" xr:uid="{5C4DC8D6-672F-43CF-93DF-C7D843C16632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AGM, Bank charges, Dreamhost, Insurance, Other G&amp;A, and Paypal fees expense accounts in this cell.
</t>
        </r>
      </text>
    </comment>
    <comment ref="E26" authorId="0" shapeId="0" xr:uid="{F29962DB-AABD-4E22-B42F-E7ECDFEF2D2D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And need to increase the donation line accordingly.</t>
        </r>
      </text>
    </comment>
    <comment ref="E85" authorId="0" shapeId="0" xr:uid="{7FE9DB8B-9B80-4B92-BDBC-7B71796F683A}">
      <text>
        <r>
          <rPr>
            <b/>
            <sz val="9"/>
            <color indexed="81"/>
            <rFont val="Tahoma"/>
            <charset val="1"/>
          </rPr>
          <t>Misty Bromley:</t>
        </r>
        <r>
          <rPr>
            <sz val="9"/>
            <color indexed="81"/>
            <rFont val="Tahoma"/>
            <charset val="1"/>
          </rPr>
          <t xml:space="preserve">
Fall concert</t>
        </r>
      </text>
    </comment>
    <comment ref="E86" authorId="0" shapeId="0" xr:uid="{7E458D37-A63E-4A87-9383-09A1B5BC736D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H86" authorId="0" shapeId="0" xr:uid="{BA655AA9-6E31-4D2E-93D3-8BF50606C8C2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M86" authorId="0" shapeId="0" xr:uid="{9493DCCF-2C47-433B-AF44-DE39A01CEA2A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E88" authorId="1" shapeId="0" xr:uid="{453FD1C3-0C85-4E7C-A3CA-228E3A5F491E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Fundraising training, concert expense, cargo bike festival exp, ride marshal training.
</t>
        </r>
      </text>
    </comment>
    <comment ref="M88" authorId="1" shapeId="0" xr:uid="{E27AB7FD-BF81-4B67-9749-A9C5A80BF7A3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Less the $1,000 due to SOHM - in grant exp line</t>
        </r>
      </text>
    </comment>
  </commentList>
</comments>
</file>

<file path=xl/sharedStrings.xml><?xml version="1.0" encoding="utf-8"?>
<sst xmlns="http://schemas.openxmlformats.org/spreadsheetml/2006/main" count="377" uniqueCount="240">
  <si>
    <t>General Revenue</t>
  </si>
  <si>
    <t>Sponsorships</t>
  </si>
  <si>
    <t>Variance</t>
  </si>
  <si>
    <t>Total General Revenue</t>
  </si>
  <si>
    <t>Administrative Expenses</t>
  </si>
  <si>
    <t>Memberships and Donations</t>
  </si>
  <si>
    <t>Revenue</t>
  </si>
  <si>
    <t>Expense</t>
  </si>
  <si>
    <t>Bike Valet</t>
  </si>
  <si>
    <t>Net Income</t>
  </si>
  <si>
    <t>Advocacy</t>
  </si>
  <si>
    <t>Miscellaneous</t>
  </si>
  <si>
    <t>Membership and Promotion</t>
  </si>
  <si>
    <t>Net Income (Loss)</t>
  </si>
  <si>
    <t>Professional Development</t>
  </si>
  <si>
    <t>Office and Administration</t>
  </si>
  <si>
    <t>Total Expenses</t>
  </si>
  <si>
    <t>Fundraising</t>
  </si>
  <si>
    <t>Strategic Planning</t>
  </si>
  <si>
    <t>Bike Parking Contract</t>
  </si>
  <si>
    <t>Volunteer Appreciation</t>
  </si>
  <si>
    <t>2020</t>
  </si>
  <si>
    <t>Building Sustainable Communities #1</t>
  </si>
  <si>
    <t>Building Sustainable Communities #2</t>
  </si>
  <si>
    <t>Canada Summer Jobs</t>
  </si>
  <si>
    <t>Heritage Grant</t>
  </si>
  <si>
    <t>Add'l Grant Expenses</t>
  </si>
  <si>
    <t>Add'l Grant Expenses - Training</t>
  </si>
  <si>
    <t>Communications Strategist</t>
  </si>
  <si>
    <t>Events Coordinator</t>
  </si>
  <si>
    <t>Office Rental</t>
  </si>
  <si>
    <t>Outreach</t>
  </si>
  <si>
    <t>Policy Strategist</t>
  </si>
  <si>
    <t>Volunteer Coordinator</t>
  </si>
  <si>
    <t>Web Developer</t>
  </si>
  <si>
    <t>Expenses</t>
  </si>
  <si>
    <t>Ride Into History</t>
  </si>
  <si>
    <t>Ride Share Researcher</t>
  </si>
  <si>
    <t>Bicycle Designer</t>
  </si>
  <si>
    <t>Total</t>
  </si>
  <si>
    <t>OCD Grant Expense</t>
  </si>
  <si>
    <r>
      <t>Surplus (deficit)</t>
    </r>
    <r>
      <rPr>
        <sz val="11"/>
        <rFont val="Calibri"/>
        <family val="2"/>
        <scheme val="minor"/>
      </rPr>
      <t xml:space="preserve"> (from general operations)</t>
    </r>
  </si>
  <si>
    <t>Conservation &amp; Climate Fund</t>
  </si>
  <si>
    <t>QB I/S</t>
  </si>
  <si>
    <t>Unallocated Grant Income</t>
  </si>
  <si>
    <t>Grant-supported Projects</t>
  </si>
  <si>
    <t>Other Projects</t>
  </si>
  <si>
    <t>Net Grant Revenue And Expenses</t>
  </si>
  <si>
    <t>Amortization</t>
  </si>
  <si>
    <t>Amortization has never been accounted for in the budget.</t>
  </si>
  <si>
    <t>Bank charges, Dreamhost charges, insurance, other gen &amp; admin, and PayPal fees</t>
  </si>
  <si>
    <t>Bike Winnipeg Inc.</t>
  </si>
  <si>
    <t>Transfer to Capital/Operating Reserves</t>
  </si>
  <si>
    <t>Contingency</t>
  </si>
  <si>
    <t xml:space="preserve"> 2021 Budget</t>
  </si>
  <si>
    <t>Budget IS</t>
  </si>
  <si>
    <t>variance</t>
  </si>
  <si>
    <t>Total Net Income (Loss)</t>
  </si>
  <si>
    <t xml:space="preserve">Loan Interest </t>
  </si>
  <si>
    <t>Transportation Survey Researcher</t>
  </si>
  <si>
    <t xml:space="preserve">Grants </t>
  </si>
  <si>
    <t>2021</t>
  </si>
  <si>
    <t>Quickbooks &amp; Timesheets Subscriptions</t>
  </si>
  <si>
    <t>Revenue - Paid Rides</t>
  </si>
  <si>
    <t>Revenue - Outreach</t>
  </si>
  <si>
    <t>Bike Share Feasibility Study</t>
  </si>
  <si>
    <t>Local Bike Groups Coordinator</t>
  </si>
  <si>
    <t>Videographer</t>
  </si>
  <si>
    <t>Manitoba Healthy Hire</t>
  </si>
  <si>
    <t>Imagine Canada Subscription</t>
  </si>
  <si>
    <t>Imagine Canada Grant Connect</t>
  </si>
  <si>
    <t>Transfer from Reserve</t>
  </si>
  <si>
    <t>ACU Community Grant</t>
  </si>
  <si>
    <t>Colleges &amp; Institutes Canada</t>
  </si>
  <si>
    <t>Red River Co-op Grant</t>
  </si>
  <si>
    <t>2022 Budget</t>
  </si>
  <si>
    <t>(to 2022)</t>
  </si>
  <si>
    <t>2021 Actual</t>
  </si>
  <si>
    <t>Budget</t>
  </si>
  <si>
    <t>CR Budget</t>
  </si>
  <si>
    <t>Executive Director</t>
  </si>
  <si>
    <t>Total Revenue</t>
  </si>
  <si>
    <t>Total Exp</t>
  </si>
  <si>
    <t>Missing - Local Bikes Group staff, Probe Research Poll rev &amp; exp</t>
  </si>
  <si>
    <t>DRAFT STATUS</t>
  </si>
  <si>
    <t>Change in Net Income</t>
  </si>
  <si>
    <t>BW policies</t>
  </si>
  <si>
    <t>Strat plan</t>
  </si>
  <si>
    <t>Risk review</t>
  </si>
  <si>
    <t>CRA categories</t>
  </si>
  <si>
    <t>ED base pay</t>
  </si>
  <si>
    <t>Charitable (Y/n/M?)</t>
  </si>
  <si>
    <t>Notes</t>
  </si>
  <si>
    <t>Outputs</t>
  </si>
  <si>
    <t>BW 2021 budget</t>
  </si>
  <si>
    <t>Old 2022 budget format</t>
  </si>
  <si>
    <t>KPIs (draft)</t>
  </si>
  <si>
    <t>Past annual report financials</t>
  </si>
  <si>
    <t>Actual</t>
  </si>
  <si>
    <t>Grouped items</t>
  </si>
  <si>
    <t>Target</t>
  </si>
  <si>
    <t>Description</t>
  </si>
  <si>
    <t>Restricted Funds (Grants, etc.)</t>
  </si>
  <si>
    <t>ACU Grant #1 (community grant)</t>
  </si>
  <si>
    <t>P</t>
  </si>
  <si>
    <t>M?</t>
  </si>
  <si>
    <t>ACU Grant #2 (sponsorship)</t>
  </si>
  <si>
    <t>Provincial Heritage Grant</t>
  </si>
  <si>
    <t>Y</t>
  </si>
  <si>
    <t>Doors Open</t>
  </si>
  <si>
    <t>BEST Program</t>
  </si>
  <si>
    <t>Retrain MB</t>
  </si>
  <si>
    <t>D8/E6</t>
  </si>
  <si>
    <t>Pending</t>
  </si>
  <si>
    <t>Misc. grants</t>
  </si>
  <si>
    <t>var</t>
  </si>
  <si>
    <t>Restricted sponsorships</t>
  </si>
  <si>
    <t>Restricted donations</t>
  </si>
  <si>
    <t>C5</t>
  </si>
  <si>
    <t>Restricted donation - Probe Poll</t>
  </si>
  <si>
    <t xml:space="preserve">CAA committed to $5k.  BW can apply for grants to cover most of our cost ("most", in that we promised some of our Nov. 2021 Giving Tuesday fundraising toward </t>
  </si>
  <si>
    <t>MEC Partnership</t>
  </si>
  <si>
    <t>?</t>
  </si>
  <si>
    <t>Grants section</t>
  </si>
  <si>
    <t>This should net out closer to zero</t>
  </si>
  <si>
    <t>Management &amp; Administration</t>
  </si>
  <si>
    <t>Executive Director - total base pay</t>
  </si>
  <si>
    <t>Current base pay = $17,290 = $665/pay; a raise to $23.90/hr salary = $18,642 = $717/pay = 7.8% increase = $1,352 increase</t>
  </si>
  <si>
    <t>Executive Director - performance bonus</t>
  </si>
  <si>
    <t>5% = $932; 10% = %1,864</t>
  </si>
  <si>
    <t>Executive Director - prof. dev.</t>
  </si>
  <si>
    <t>D8</t>
  </si>
  <si>
    <t>A</t>
  </si>
  <si>
    <t>Professional development</t>
  </si>
  <si>
    <t>Executive Director - other benefits</t>
  </si>
  <si>
    <t>$400 for bike expenses? $400 for partial phone &amp; internet?</t>
  </si>
  <si>
    <t>ED - Total Compensation</t>
  </si>
  <si>
    <t>Executive director (less $400)</t>
  </si>
  <si>
    <t>Subscription - P.O. Box</t>
  </si>
  <si>
    <t>Subscription - Quickbooks</t>
  </si>
  <si>
    <t>Subscription - Timesheets</t>
  </si>
  <si>
    <t>Subscription - BoardSource</t>
  </si>
  <si>
    <t>Subscription - Video Conferencing (Zoom)</t>
  </si>
  <si>
    <t>Subscriptions - Total</t>
  </si>
  <si>
    <t>Memberships and promotion</t>
  </si>
  <si>
    <t>A2</t>
  </si>
  <si>
    <t>M</t>
  </si>
  <si>
    <t>Strategic plan</t>
  </si>
  <si>
    <t>AGM</t>
  </si>
  <si>
    <t>Office &amp; Admin</t>
  </si>
  <si>
    <t>Monthly meetings</t>
  </si>
  <si>
    <t>Audit / Review Engagement</t>
  </si>
  <si>
    <t>B2</t>
  </si>
  <si>
    <t>Website/email/social media</t>
  </si>
  <si>
    <t>PayPal &amp; Eventbrite fees</t>
  </si>
  <si>
    <t>Board training (essentials)</t>
  </si>
  <si>
    <t>E6</t>
  </si>
  <si>
    <t>CV Mgmt &amp; Leadership Training</t>
  </si>
  <si>
    <t>Affiliation - Velo Canada Bikes</t>
  </si>
  <si>
    <t>Affiliation - Manitoba Eco-Network</t>
  </si>
  <si>
    <t>Affiliation - Green Action Centre</t>
  </si>
  <si>
    <t>Affiliation - Trails Manitoba</t>
  </si>
  <si>
    <t>Affiliation - CCEDNET</t>
  </si>
  <si>
    <t>Affiliation - Climate Action Network Canada</t>
  </si>
  <si>
    <t>Affiliation - Alliance 2030 (free)</t>
  </si>
  <si>
    <t>Affiliation - ITE</t>
  </si>
  <si>
    <t>Affiliation - APBP (indiv for Mark)</t>
  </si>
  <si>
    <t>Affiliation - Winter Cycling Federation (NGO member)</t>
  </si>
  <si>
    <t>Affiliation - Other</t>
  </si>
  <si>
    <t>Affiliations - Total</t>
  </si>
  <si>
    <t>Insurance</t>
  </si>
  <si>
    <t>Office and admin</t>
  </si>
  <si>
    <t>Finance charges</t>
  </si>
  <si>
    <t>PayPal fees on memberships and donations</t>
  </si>
  <si>
    <t>CRA guidelines on allocating fundraising expenditures</t>
  </si>
  <si>
    <t>Memberships</t>
  </si>
  <si>
    <t>Donations (unrestricted)</t>
  </si>
  <si>
    <t>(note para. 105, 116, 132, etc.)</t>
  </si>
  <si>
    <t>Sponsorships (unrestricted)</t>
  </si>
  <si>
    <t>CV Fundraising Training</t>
  </si>
  <si>
    <t>Fundraising exp</t>
  </si>
  <si>
    <t>Stationery, postage, etc.</t>
  </si>
  <si>
    <t>F</t>
  </si>
  <si>
    <t>Local Bike Groups</t>
  </si>
  <si>
    <t>Staff</t>
  </si>
  <si>
    <t>T</t>
  </si>
  <si>
    <t>Not included in totals</t>
  </si>
  <si>
    <t>Polling Project (CAA Manitoba)</t>
  </si>
  <si>
    <t>Probe Research Poll</t>
  </si>
  <si>
    <t>????</t>
  </si>
  <si>
    <t>Major Events</t>
  </si>
  <si>
    <t>Events - Fall Concert</t>
  </si>
  <si>
    <t>n</t>
  </si>
  <si>
    <t>Cargo Bike &amp; Trailer Festival</t>
  </si>
  <si>
    <t>Other</t>
  </si>
  <si>
    <t>Rides</t>
  </si>
  <si>
    <t>Ride Marshal Training</t>
  </si>
  <si>
    <t>Volunteers trained</t>
  </si>
  <si>
    <t>Grant Funded Rides</t>
  </si>
  <si>
    <t>Participants</t>
  </si>
  <si>
    <t>This expense seems high.</t>
  </si>
  <si>
    <t>Non-grant ride revenue</t>
  </si>
  <si>
    <t>Budgeted $2,500 incl. in base bay line above.</t>
  </si>
  <si>
    <t>- Non Grant Funded ED Hours</t>
  </si>
  <si>
    <t>Bike Trailer</t>
  </si>
  <si>
    <t>BTWD Pitstop</t>
  </si>
  <si>
    <t>WB2BD Pitstop</t>
  </si>
  <si>
    <t>Get Lit!</t>
  </si>
  <si>
    <t>Event management training</t>
  </si>
  <si>
    <t>Workshops</t>
  </si>
  <si>
    <t>Promotional Materials</t>
  </si>
  <si>
    <t>Volunteer Recruitment &amp; Appreciation</t>
  </si>
  <si>
    <t>Volunteer recruitment</t>
  </si>
  <si>
    <t>In-kind from Volunteer Manitoba</t>
  </si>
  <si>
    <t>Thank-you cards</t>
  </si>
  <si>
    <t>Volunteer orientation &amp; training</t>
  </si>
  <si>
    <t>Volunteer engagement &amp; supervision</t>
  </si>
  <si>
    <t>Volunteer recognition</t>
  </si>
  <si>
    <t>E8</t>
  </si>
  <si>
    <t>Volunteer appreciation</t>
  </si>
  <si>
    <t>Local Bike Group Events</t>
  </si>
  <si>
    <t>Advertising/Printing/Presentations</t>
  </si>
  <si>
    <t>Bicycle Valet</t>
  </si>
  <si>
    <t>Revenue - fees</t>
  </si>
  <si>
    <t>Revenue - ancillary donations</t>
  </si>
  <si>
    <t>Coordinator</t>
  </si>
  <si>
    <t>85% of fees + donations minus $500 for insurance and $500 for equipment rental</t>
  </si>
  <si>
    <t>A8</t>
  </si>
  <si>
    <t>Transfer to Reserve</t>
  </si>
  <si>
    <t>Installation</t>
  </si>
  <si>
    <t>Consulting (NCAs etc.)</t>
  </si>
  <si>
    <t>???</t>
  </si>
  <si>
    <t>Bike Trailer - Transfer to Reserve</t>
  </si>
  <si>
    <t>Subtotals</t>
  </si>
  <si>
    <t>Contribution to operating reserve</t>
  </si>
  <si>
    <t xml:space="preserve">                                                      </t>
  </si>
  <si>
    <t>Keyed into our monthly f/s format</t>
  </si>
  <si>
    <t>Red text - questions, comments</t>
  </si>
  <si>
    <t>Reference on in-kind donations</t>
  </si>
  <si>
    <t>The accepted way to record in-kind donations is to set up a separate revenue account but the expense side of the transaction should be recorded in its functional expense account.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</si>
</sst>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8" formatCode="_-&quot;$&quot;* #,##0_-;\-&quot;$&quot;* #,##0_-;_-&quot;$&quot;* &quot;-&quot;??_-;_-@_-"/>
    <numFmt numFmtId="169" formatCode="_-* #,##0_-;\-* #,##0_-;_-* &quot;-&quot;??_-;_-@_-"/>
    <numFmt numFmtId="170" formatCode="_(* #,##0_);_(* \(#,##0\);_(* &quot;-&quot;??_);_(@_)"/>
    <numFmt numFmtId="171" formatCode="&quot;$&quot;#,##0"/>
    <numFmt numFmtId="172" formatCode="0.0%"/>
    <numFmt numFmtId="173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Calibri"/>
      <family val="2"/>
      <scheme val="minor"/>
    </font>
    <font>
      <b/>
      <sz val="1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rgb="FF1155CC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u/>
      <sz val="10"/>
      <color rgb="FF1155CC"/>
      <name val="Arial"/>
      <family val="2"/>
    </font>
    <font>
      <b/>
      <sz val="9"/>
      <color rgb="FF666666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0"/>
      <color rgb="FF999999"/>
      <name val="Arial Narrow"/>
      <family val="2"/>
    </font>
    <font>
      <sz val="10"/>
      <color rgb="FFFF0000"/>
      <name val="Arial"/>
      <family val="2"/>
    </font>
    <font>
      <b/>
      <sz val="10"/>
      <color rgb="FF999999"/>
      <name val="Arial Narrow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u/>
      <sz val="10"/>
      <color rgb="FF1155CC"/>
      <name val="Arial Narrow"/>
      <family val="2"/>
    </font>
    <font>
      <b/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180">
    <xf numFmtId="0" fontId="0" fillId="0" borderId="0" xfId="0"/>
    <xf numFmtId="0" fontId="4" fillId="0" borderId="0" xfId="0" applyFont="1"/>
    <xf numFmtId="0" fontId="5" fillId="0" borderId="0" xfId="0" applyFont="1"/>
    <xf numFmtId="165" fontId="4" fillId="0" borderId="0" xfId="0" applyNumberFormat="1" applyFont="1" applyAlignment="1">
      <alignment horizontal="center"/>
    </xf>
    <xf numFmtId="43" fontId="4" fillId="0" borderId="0" xfId="1" applyFont="1"/>
    <xf numFmtId="165" fontId="4" fillId="0" borderId="0" xfId="1" applyNumberFormat="1" applyFont="1"/>
    <xf numFmtId="165" fontId="5" fillId="0" borderId="0" xfId="1" applyNumberFormat="1" applyFont="1"/>
    <xf numFmtId="43" fontId="5" fillId="0" borderId="0" xfId="1" applyFont="1"/>
    <xf numFmtId="43" fontId="6" fillId="0" borderId="0" xfId="1" applyFont="1"/>
    <xf numFmtId="168" fontId="6" fillId="0" borderId="0" xfId="2" applyNumberFormat="1" applyFont="1"/>
    <xf numFmtId="165" fontId="6" fillId="0" borderId="0" xfId="1" applyNumberFormat="1" applyFont="1"/>
    <xf numFmtId="165" fontId="7" fillId="0" borderId="0" xfId="1" applyNumberFormat="1" applyFont="1"/>
    <xf numFmtId="43" fontId="7" fillId="0" borderId="0" xfId="1" applyFont="1"/>
    <xf numFmtId="165" fontId="6" fillId="0" borderId="1" xfId="1" applyNumberFormat="1" applyFont="1" applyBorder="1"/>
    <xf numFmtId="165" fontId="7" fillId="0" borderId="1" xfId="1" applyNumberFormat="1" applyFont="1" applyBorder="1"/>
    <xf numFmtId="164" fontId="4" fillId="0" borderId="0" xfId="1" applyNumberFormat="1" applyFont="1"/>
    <xf numFmtId="164" fontId="7" fillId="0" borderId="0" xfId="1" applyNumberFormat="1" applyFont="1"/>
    <xf numFmtId="165" fontId="4" fillId="0" borderId="1" xfId="2" applyNumberFormat="1" applyFont="1" applyBorder="1"/>
    <xf numFmtId="165" fontId="4" fillId="0" borderId="0" xfId="2" applyNumberFormat="1" applyFont="1"/>
    <xf numFmtId="165" fontId="7" fillId="0" borderId="1" xfId="2" applyNumberFormat="1" applyFont="1" applyBorder="1"/>
    <xf numFmtId="42" fontId="4" fillId="0" borderId="0" xfId="1" applyNumberFormat="1" applyFont="1"/>
    <xf numFmtId="164" fontId="4" fillId="0" borderId="0" xfId="2" applyNumberFormat="1" applyFont="1"/>
    <xf numFmtId="42" fontId="5" fillId="0" borderId="0" xfId="1" applyNumberFormat="1" applyFont="1"/>
    <xf numFmtId="164" fontId="6" fillId="0" borderId="0" xfId="2" applyNumberFormat="1" applyFont="1"/>
    <xf numFmtId="164" fontId="7" fillId="0" borderId="0" xfId="2" applyNumberFormat="1" applyFont="1"/>
    <xf numFmtId="169" fontId="6" fillId="0" borderId="0" xfId="1" applyNumberFormat="1" applyFont="1"/>
    <xf numFmtId="169" fontId="6" fillId="0" borderId="1" xfId="1" applyNumberFormat="1" applyFont="1" applyBorder="1"/>
    <xf numFmtId="165" fontId="4" fillId="0" borderId="1" xfId="1" applyNumberFormat="1" applyFont="1" applyBorder="1"/>
    <xf numFmtId="164" fontId="4" fillId="0" borderId="2" xfId="1" applyNumberFormat="1" applyFont="1" applyBorder="1"/>
    <xf numFmtId="164" fontId="7" fillId="0" borderId="2" xfId="1" applyNumberFormat="1" applyFont="1" applyBorder="1"/>
    <xf numFmtId="0" fontId="6" fillId="0" borderId="0" xfId="0" applyFont="1"/>
    <xf numFmtId="165" fontId="6" fillId="0" borderId="0" xfId="0" applyNumberFormat="1" applyFont="1"/>
    <xf numFmtId="165" fontId="7" fillId="0" borderId="0" xfId="0" applyNumberFormat="1" applyFont="1"/>
    <xf numFmtId="0" fontId="7" fillId="0" borderId="0" xfId="0" applyFont="1"/>
    <xf numFmtId="165" fontId="6" fillId="0" borderId="0" xfId="1" applyNumberFormat="1" applyFont="1" applyBorder="1"/>
    <xf numFmtId="43" fontId="8" fillId="0" borderId="0" xfId="1" applyFont="1"/>
    <xf numFmtId="165" fontId="4" fillId="0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 applyFill="1" applyBorder="1"/>
    <xf numFmtId="165" fontId="6" fillId="0" borderId="1" xfId="1" applyNumberFormat="1" applyFont="1" applyFill="1" applyBorder="1"/>
    <xf numFmtId="164" fontId="6" fillId="0" borderId="0" xfId="2" applyNumberFormat="1" applyFont="1" applyFill="1"/>
    <xf numFmtId="165" fontId="6" fillId="0" borderId="0" xfId="0" applyNumberFormat="1" applyFont="1" applyFill="1"/>
    <xf numFmtId="168" fontId="6" fillId="0" borderId="0" xfId="2" applyNumberFormat="1" applyFont="1" applyFill="1"/>
    <xf numFmtId="165" fontId="5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4" fontId="7" fillId="0" borderId="0" xfId="2" applyNumberFormat="1" applyFont="1" applyFill="1"/>
    <xf numFmtId="165" fontId="6" fillId="0" borderId="0" xfId="2" applyNumberFormat="1" applyFont="1"/>
    <xf numFmtId="0" fontId="4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0" fontId="4" fillId="0" borderId="0" xfId="0" applyFont="1" applyFill="1" applyBorder="1" applyAlignment="1"/>
    <xf numFmtId="0" fontId="4" fillId="0" borderId="3" xfId="0" quotePrefix="1" applyFont="1" applyBorder="1" applyAlignment="1"/>
    <xf numFmtId="0" fontId="4" fillId="0" borderId="3" xfId="0" applyFont="1" applyBorder="1"/>
    <xf numFmtId="0" fontId="5" fillId="0" borderId="3" xfId="0" quotePrefix="1" applyFont="1" applyBorder="1" applyAlignment="1"/>
    <xf numFmtId="0" fontId="4" fillId="0" borderId="3" xfId="0" quotePrefix="1" applyFont="1" applyFill="1" applyBorder="1" applyAlignment="1"/>
    <xf numFmtId="165" fontId="5" fillId="0" borderId="0" xfId="0" quotePrefix="1" applyNumberFormat="1" applyFont="1" applyAlignment="1">
      <alignment horizontal="center" wrapText="1"/>
    </xf>
    <xf numFmtId="165" fontId="5" fillId="0" borderId="0" xfId="0" applyNumberFormat="1" applyFont="1" applyAlignment="1">
      <alignment horizontal="center"/>
    </xf>
    <xf numFmtId="165" fontId="7" fillId="0" borderId="0" xfId="1" applyNumberFormat="1" applyFont="1" applyFill="1" applyBorder="1"/>
    <xf numFmtId="170" fontId="7" fillId="0" borderId="0" xfId="2" applyNumberFormat="1" applyFont="1"/>
    <xf numFmtId="170" fontId="7" fillId="0" borderId="0" xfId="1" applyNumberFormat="1" applyFont="1"/>
    <xf numFmtId="170" fontId="7" fillId="0" borderId="1" xfId="1" applyNumberFormat="1" applyFont="1" applyBorder="1"/>
    <xf numFmtId="169" fontId="6" fillId="0" borderId="0" xfId="1" applyNumberFormat="1" applyFont="1" applyFill="1"/>
    <xf numFmtId="170" fontId="6" fillId="0" borderId="0" xfId="1" applyNumberFormat="1" applyFont="1"/>
    <xf numFmtId="170" fontId="7" fillId="0" borderId="0" xfId="1" applyNumberFormat="1" applyFont="1" applyBorder="1"/>
    <xf numFmtId="170" fontId="6" fillId="0" borderId="0" xfId="1" applyNumberFormat="1" applyFont="1" applyFill="1"/>
    <xf numFmtId="169" fontId="6" fillId="0" borderId="0" xfId="1" applyNumberFormat="1" applyFont="1" applyFill="1" applyBorder="1"/>
    <xf numFmtId="169" fontId="6" fillId="0" borderId="1" xfId="1" applyNumberFormat="1" applyFont="1" applyFill="1" applyBorder="1"/>
    <xf numFmtId="43" fontId="7" fillId="0" borderId="0" xfId="1" applyFont="1" applyFill="1"/>
    <xf numFmtId="165" fontId="4" fillId="0" borderId="0" xfId="0" quotePrefix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7" fillId="0" borderId="0" xfId="0" applyNumberFormat="1" applyFont="1" applyFill="1"/>
    <xf numFmtId="165" fontId="7" fillId="0" borderId="1" xfId="0" applyNumberFormat="1" applyFont="1" applyFill="1" applyBorder="1"/>
    <xf numFmtId="165" fontId="8" fillId="0" borderId="0" xfId="1" applyNumberFormat="1" applyFont="1" applyFill="1"/>
    <xf numFmtId="165" fontId="8" fillId="0" borderId="0" xfId="1" applyNumberFormat="1" applyFont="1" applyFill="1" applyBorder="1"/>
    <xf numFmtId="169" fontId="8" fillId="0" borderId="0" xfId="1" applyNumberFormat="1" applyFont="1" applyFill="1" applyBorder="1"/>
    <xf numFmtId="0" fontId="12" fillId="0" borderId="0" xfId="3" applyFont="1" applyAlignment="1">
      <alignment vertical="center"/>
    </xf>
    <xf numFmtId="0" fontId="13" fillId="0" borderId="0" xfId="3" applyFont="1" applyAlignment="1">
      <alignment horizontal="right" vertical="center" wrapText="1"/>
    </xf>
    <xf numFmtId="0" fontId="14" fillId="0" borderId="4" xfId="3" applyFont="1" applyBorder="1" applyAlignment="1">
      <alignment horizontal="center" vertical="center" wrapText="1"/>
    </xf>
    <xf numFmtId="0" fontId="15" fillId="0" borderId="4" xfId="3" applyFont="1" applyBorder="1"/>
    <xf numFmtId="0" fontId="15" fillId="0" borderId="5" xfId="3" applyFont="1" applyBorder="1"/>
    <xf numFmtId="0" fontId="14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textRotation="90" wrapText="1"/>
    </xf>
    <xf numFmtId="0" fontId="17" fillId="0" borderId="0" xfId="3" applyFont="1" applyAlignment="1">
      <alignment horizontal="center" vertical="center" textRotation="90" wrapText="1"/>
    </xf>
    <xf numFmtId="0" fontId="13" fillId="0" borderId="0" xfId="3" applyFont="1" applyAlignment="1">
      <alignment horizontal="center" vertical="center" textRotation="90" wrapText="1"/>
    </xf>
    <xf numFmtId="0" fontId="18" fillId="0" borderId="0" xfId="3" applyFont="1" applyAlignment="1">
      <alignment vertical="center" wrapText="1"/>
    </xf>
    <xf numFmtId="0" fontId="14" fillId="0" borderId="0" xfId="3" applyFont="1" applyAlignment="1">
      <alignment horizontal="center" vertical="center" wrapText="1"/>
    </xf>
    <xf numFmtId="0" fontId="11" fillId="0" borderId="0" xfId="3"/>
    <xf numFmtId="0" fontId="13" fillId="0" borderId="0" xfId="3" applyFont="1" applyAlignment="1">
      <alignment vertical="center" wrapText="1"/>
    </xf>
    <xf numFmtId="0" fontId="11" fillId="0" borderId="0" xfId="3"/>
    <xf numFmtId="0" fontId="16" fillId="0" borderId="0" xfId="3" applyFont="1" applyAlignment="1">
      <alignment vertical="center" wrapText="1"/>
    </xf>
    <xf numFmtId="0" fontId="16" fillId="0" borderId="0" xfId="3" applyFont="1" applyAlignment="1">
      <alignment horizontal="right" vertical="center" wrapText="1"/>
    </xf>
    <xf numFmtId="49" fontId="14" fillId="0" borderId="0" xfId="3" applyNumberFormat="1" applyFont="1" applyAlignment="1">
      <alignment horizontal="center" vertical="center" wrapText="1"/>
    </xf>
    <xf numFmtId="0" fontId="15" fillId="0" borderId="6" xfId="3" applyFont="1" applyBorder="1"/>
    <xf numFmtId="49" fontId="18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49" fontId="14" fillId="0" borderId="0" xfId="3" applyNumberFormat="1" applyFont="1" applyAlignment="1">
      <alignment horizontal="center" vertical="center" wrapText="1"/>
    </xf>
    <xf numFmtId="49" fontId="19" fillId="0" borderId="0" xfId="3" applyNumberFormat="1" applyFont="1" applyAlignment="1">
      <alignment horizontal="center" vertical="center" wrapText="1"/>
    </xf>
    <xf numFmtId="49" fontId="20" fillId="0" borderId="0" xfId="3" applyNumberFormat="1" applyFont="1" applyAlignment="1">
      <alignment horizontal="center" vertical="center" wrapText="1"/>
    </xf>
    <xf numFmtId="49" fontId="21" fillId="0" borderId="0" xfId="3" applyNumberFormat="1" applyFont="1" applyAlignment="1">
      <alignment horizontal="center" vertical="center" wrapText="1"/>
    </xf>
    <xf numFmtId="49" fontId="14" fillId="0" borderId="6" xfId="3" applyNumberFormat="1" applyFont="1" applyBorder="1" applyAlignment="1">
      <alignment horizontal="center" vertical="center" wrapText="1"/>
    </xf>
    <xf numFmtId="0" fontId="14" fillId="0" borderId="7" xfId="3" applyFont="1" applyBorder="1" applyAlignment="1">
      <alignment vertical="center"/>
    </xf>
    <xf numFmtId="0" fontId="14" fillId="0" borderId="0" xfId="3" applyFont="1" applyAlignment="1">
      <alignment horizontal="right" vertical="center"/>
    </xf>
    <xf numFmtId="171" fontId="13" fillId="3" borderId="0" xfId="3" applyNumberFormat="1" applyFont="1" applyFill="1" applyAlignment="1">
      <alignment vertical="center"/>
    </xf>
    <xf numFmtId="171" fontId="13" fillId="0" borderId="0" xfId="3" applyNumberFormat="1" applyFont="1" applyAlignment="1">
      <alignment vertical="center"/>
    </xf>
    <xf numFmtId="171" fontId="13" fillId="0" borderId="6" xfId="3" applyNumberFormat="1" applyFont="1" applyBorder="1" applyAlignment="1">
      <alignment vertical="center"/>
    </xf>
    <xf numFmtId="171" fontId="15" fillId="0" borderId="0" xfId="3" applyNumberFormat="1" applyFont="1" applyAlignment="1">
      <alignment vertical="center"/>
    </xf>
    <xf numFmtId="0" fontId="13" fillId="3" borderId="0" xfId="3" applyFont="1" applyFill="1" applyAlignment="1">
      <alignment horizontal="center" vertical="center"/>
    </xf>
    <xf numFmtId="0" fontId="22" fillId="3" borderId="0" xfId="3" applyFont="1" applyFill="1" applyAlignment="1">
      <alignment vertical="center"/>
    </xf>
    <xf numFmtId="0" fontId="13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171" fontId="23" fillId="0" borderId="0" xfId="3" applyNumberFormat="1" applyFont="1" applyAlignment="1">
      <alignment vertical="center"/>
    </xf>
    <xf numFmtId="0" fontId="13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13" fillId="0" borderId="0" xfId="3" applyFont="1" applyAlignment="1">
      <alignment horizontal="right" vertical="center"/>
    </xf>
    <xf numFmtId="171" fontId="14" fillId="0" borderId="8" xfId="3" applyNumberFormat="1" applyFont="1" applyBorder="1" applyAlignment="1">
      <alignment vertical="center"/>
    </xf>
    <xf numFmtId="171" fontId="14" fillId="2" borderId="8" xfId="3" applyNumberFormat="1" applyFont="1" applyFill="1" applyBorder="1" applyAlignment="1">
      <alignment vertical="center"/>
    </xf>
    <xf numFmtId="171" fontId="14" fillId="0" borderId="9" xfId="3" applyNumberFormat="1" applyFont="1" applyBorder="1" applyAlignment="1">
      <alignment vertical="center"/>
    </xf>
    <xf numFmtId="171" fontId="25" fillId="0" borderId="8" xfId="3" applyNumberFormat="1" applyFont="1" applyBorder="1" applyAlignment="1">
      <alignment vertical="center"/>
    </xf>
    <xf numFmtId="171" fontId="21" fillId="2" borderId="8" xfId="3" applyNumberFormat="1" applyFont="1" applyFill="1" applyBorder="1" applyAlignment="1">
      <alignment vertical="center"/>
    </xf>
    <xf numFmtId="0" fontId="13" fillId="0" borderId="0" xfId="3" applyFont="1" applyAlignment="1">
      <alignment horizontal="left" vertical="center"/>
    </xf>
    <xf numFmtId="0" fontId="26" fillId="0" borderId="0" xfId="3" applyFont="1"/>
    <xf numFmtId="0" fontId="27" fillId="0" borderId="0" xfId="3" applyFont="1" applyAlignment="1">
      <alignment horizontal="center" vertical="center"/>
    </xf>
    <xf numFmtId="10" fontId="13" fillId="0" borderId="0" xfId="3" applyNumberFormat="1" applyFont="1" applyAlignment="1">
      <alignment vertical="center"/>
    </xf>
    <xf numFmtId="0" fontId="16" fillId="0" borderId="0" xfId="3" applyFont="1" applyAlignment="1">
      <alignment horizontal="left" vertical="center"/>
    </xf>
    <xf numFmtId="171" fontId="23" fillId="2" borderId="0" xfId="3" applyNumberFormat="1" applyFont="1" applyFill="1" applyAlignment="1">
      <alignment vertical="center"/>
    </xf>
    <xf numFmtId="171" fontId="15" fillId="2" borderId="0" xfId="3" applyNumberFormat="1" applyFont="1" applyFill="1" applyAlignment="1">
      <alignment vertical="center"/>
    </xf>
    <xf numFmtId="171" fontId="26" fillId="2" borderId="0" xfId="3" applyNumberFormat="1" applyFont="1" applyFill="1"/>
    <xf numFmtId="0" fontId="15" fillId="0" borderId="0" xfId="3" applyFont="1" applyAlignment="1">
      <alignment horizontal="right" vertical="center"/>
    </xf>
    <xf numFmtId="0" fontId="15" fillId="0" borderId="0" xfId="3" applyFont="1" applyAlignment="1">
      <alignment vertical="center"/>
    </xf>
    <xf numFmtId="171" fontId="23" fillId="0" borderId="0" xfId="3" applyNumberFormat="1" applyFont="1"/>
    <xf numFmtId="171" fontId="15" fillId="0" borderId="0" xfId="3" applyNumberFormat="1" applyFont="1"/>
    <xf numFmtId="0" fontId="13" fillId="0" borderId="6" xfId="3" applyFont="1" applyBorder="1"/>
    <xf numFmtId="0" fontId="13" fillId="0" borderId="0" xfId="3" applyFont="1"/>
    <xf numFmtId="171" fontId="13" fillId="4" borderId="0" xfId="3" applyNumberFormat="1" applyFont="1" applyFill="1" applyAlignment="1">
      <alignment vertical="center"/>
    </xf>
    <xf numFmtId="171" fontId="28" fillId="2" borderId="0" xfId="3" applyNumberFormat="1" applyFont="1" applyFill="1"/>
    <xf numFmtId="0" fontId="29" fillId="0" borderId="0" xfId="3" applyFont="1" applyAlignment="1">
      <alignment vertical="center"/>
    </xf>
    <xf numFmtId="171" fontId="21" fillId="0" borderId="8" xfId="3" applyNumberFormat="1" applyFont="1" applyBorder="1" applyAlignment="1">
      <alignment vertical="center"/>
    </xf>
    <xf numFmtId="0" fontId="30" fillId="0" borderId="7" xfId="3" applyFont="1" applyBorder="1" applyAlignment="1">
      <alignment vertical="center"/>
    </xf>
    <xf numFmtId="0" fontId="16" fillId="0" borderId="0" xfId="3" applyFont="1" applyAlignment="1">
      <alignment vertical="center" wrapText="1"/>
    </xf>
    <xf numFmtId="171" fontId="31" fillId="0" borderId="0" xfId="3" applyNumberFormat="1" applyFont="1" applyAlignment="1">
      <alignment vertical="center"/>
    </xf>
    <xf numFmtId="171" fontId="28" fillId="2" borderId="0" xfId="3" applyNumberFormat="1" applyFont="1" applyFill="1" applyAlignment="1">
      <alignment vertical="center"/>
    </xf>
    <xf numFmtId="0" fontId="14" fillId="0" borderId="0" xfId="3" applyFont="1" applyAlignment="1">
      <alignment vertical="center"/>
    </xf>
    <xf numFmtId="171" fontId="24" fillId="0" borderId="0" xfId="3" applyNumberFormat="1" applyFont="1" applyAlignment="1">
      <alignment vertical="center"/>
    </xf>
    <xf numFmtId="0" fontId="24" fillId="0" borderId="0" xfId="3" applyFont="1" applyAlignment="1">
      <alignment horizontal="right" vertical="center"/>
    </xf>
    <xf numFmtId="171" fontId="14" fillId="0" borderId="0" xfId="3" applyNumberFormat="1" applyFont="1" applyAlignment="1">
      <alignment vertical="center"/>
    </xf>
    <xf numFmtId="171" fontId="14" fillId="0" borderId="6" xfId="3" applyNumberFormat="1" applyFont="1" applyBorder="1" applyAlignment="1">
      <alignment vertical="center"/>
    </xf>
    <xf numFmtId="171" fontId="13" fillId="2" borderId="0" xfId="3" applyNumberFormat="1" applyFont="1" applyFill="1" applyAlignment="1">
      <alignment vertical="center"/>
    </xf>
    <xf numFmtId="171" fontId="14" fillId="0" borderId="10" xfId="3" applyNumberFormat="1" applyFont="1" applyBorder="1" applyAlignment="1">
      <alignment vertical="center"/>
    </xf>
    <xf numFmtId="171" fontId="28" fillId="0" borderId="0" xfId="3" applyNumberFormat="1" applyFont="1" applyAlignment="1">
      <alignment vertical="center"/>
    </xf>
    <xf numFmtId="0" fontId="15" fillId="0" borderId="0" xfId="3" applyFont="1"/>
    <xf numFmtId="9" fontId="13" fillId="0" borderId="0" xfId="3" applyNumberFormat="1" applyFont="1" applyAlignment="1">
      <alignment vertical="center"/>
    </xf>
    <xf numFmtId="0" fontId="27" fillId="0" borderId="7" xfId="3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171" fontId="13" fillId="5" borderId="0" xfId="3" applyNumberFormat="1" applyFont="1" applyFill="1" applyAlignment="1">
      <alignment vertical="center"/>
    </xf>
    <xf numFmtId="0" fontId="13" fillId="5" borderId="0" xfId="3" applyFont="1" applyFill="1" applyAlignment="1">
      <alignment horizontal="center" vertical="center"/>
    </xf>
    <xf numFmtId="0" fontId="22" fillId="5" borderId="0" xfId="3" applyFont="1" applyFill="1" applyAlignment="1">
      <alignment vertical="center"/>
    </xf>
    <xf numFmtId="10" fontId="13" fillId="0" borderId="0" xfId="3" applyNumberFormat="1" applyFont="1" applyAlignment="1">
      <alignment horizontal="right" vertical="center"/>
    </xf>
    <xf numFmtId="171" fontId="21" fillId="0" borderId="0" xfId="3" applyNumberFormat="1" applyFont="1" applyAlignment="1">
      <alignment vertical="center"/>
    </xf>
    <xf numFmtId="172" fontId="13" fillId="0" borderId="0" xfId="3" applyNumberFormat="1" applyFont="1" applyAlignment="1">
      <alignment horizontal="right" vertical="center"/>
    </xf>
    <xf numFmtId="0" fontId="13" fillId="0" borderId="4" xfId="3" applyFont="1" applyBorder="1" applyAlignment="1">
      <alignment vertical="center"/>
    </xf>
    <xf numFmtId="172" fontId="13" fillId="0" borderId="4" xfId="3" applyNumberFormat="1" applyFont="1" applyBorder="1" applyAlignment="1">
      <alignment horizontal="right" vertical="center"/>
    </xf>
    <xf numFmtId="171" fontId="13" fillId="0" borderId="4" xfId="3" applyNumberFormat="1" applyFont="1" applyBorder="1" applyAlignment="1">
      <alignment vertical="center"/>
    </xf>
    <xf numFmtId="171" fontId="13" fillId="0" borderId="5" xfId="3" applyNumberFormat="1" applyFont="1" applyBorder="1" applyAlignment="1">
      <alignment vertical="center"/>
    </xf>
    <xf numFmtId="171" fontId="23" fillId="0" borderId="4" xfId="3" applyNumberFormat="1" applyFont="1" applyBorder="1" applyAlignment="1">
      <alignment vertical="center"/>
    </xf>
    <xf numFmtId="171" fontId="15" fillId="2" borderId="4" xfId="3" applyNumberFormat="1" applyFont="1" applyFill="1" applyBorder="1" applyAlignment="1">
      <alignment vertical="center"/>
    </xf>
    <xf numFmtId="171" fontId="25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173" fontId="13" fillId="0" borderId="0" xfId="3" applyNumberFormat="1" applyFont="1" applyAlignment="1">
      <alignment vertical="center"/>
    </xf>
    <xf numFmtId="0" fontId="13" fillId="0" borderId="0" xfId="3" quotePrefix="1" applyFont="1" applyAlignment="1">
      <alignment horizontal="left" vertical="center"/>
    </xf>
    <xf numFmtId="173" fontId="14" fillId="0" borderId="0" xfId="3" applyNumberFormat="1" applyFont="1" applyAlignment="1">
      <alignment vertical="center"/>
    </xf>
    <xf numFmtId="0" fontId="14" fillId="0" borderId="0" xfId="3" applyFont="1" applyAlignment="1">
      <alignment horizontal="left" vertical="center"/>
    </xf>
    <xf numFmtId="171" fontId="16" fillId="0" borderId="0" xfId="3" applyNumberFormat="1" applyFont="1" applyAlignment="1">
      <alignment vertical="center"/>
    </xf>
    <xf numFmtId="173" fontId="29" fillId="0" borderId="0" xfId="3" applyNumberFormat="1" applyFont="1" applyAlignment="1">
      <alignment vertical="center"/>
    </xf>
    <xf numFmtId="0" fontId="29" fillId="0" borderId="0" xfId="3" applyFont="1" applyAlignment="1">
      <alignment horizontal="left" vertical="center"/>
    </xf>
    <xf numFmtId="171" fontId="32" fillId="6" borderId="0" xfId="3" applyNumberFormat="1" applyFont="1" applyFill="1"/>
    <xf numFmtId="173" fontId="33" fillId="0" borderId="0" xfId="3" applyNumberFormat="1" applyFont="1" applyAlignment="1">
      <alignment vertical="center"/>
    </xf>
    <xf numFmtId="0" fontId="33" fillId="0" borderId="0" xfId="3" applyFont="1" applyAlignment="1">
      <alignment horizontal="left" vertical="center"/>
    </xf>
    <xf numFmtId="171" fontId="13" fillId="0" borderId="0" xfId="3" applyNumberFormat="1" applyFont="1" applyFill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D4011692-07E7-4193-AD91-DA827ECDF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419101</xdr:colOff>
      <xdr:row>0</xdr:row>
      <xdr:rowOff>104775</xdr:rowOff>
    </xdr:from>
    <xdr:to>
      <xdr:col>15</xdr:col>
      <xdr:colOff>291353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D64F0-5003-436B-AA00-F4498B63206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25026" y="104775"/>
          <a:ext cx="767602" cy="5619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W%20budge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GrantProgram Status Lookup"/>
      <sheetName val="Sheet4"/>
      <sheetName val="Sheet5"/>
      <sheetName val="2021 Restated"/>
      <sheetName val="For mark-up"/>
    </sheetNames>
    <sheetDataSet>
      <sheetData sheetId="0">
        <row r="1">
          <cell r="Q1">
            <v>18642</v>
          </cell>
        </row>
        <row r="15">
          <cell r="E15">
            <v>7600</v>
          </cell>
        </row>
        <row r="17">
          <cell r="E17">
            <v>2500</v>
          </cell>
        </row>
        <row r="18">
          <cell r="E18">
            <v>2000</v>
          </cell>
        </row>
        <row r="19">
          <cell r="E19">
            <v>1000</v>
          </cell>
        </row>
        <row r="21">
          <cell r="E21">
            <v>4000</v>
          </cell>
        </row>
        <row r="22">
          <cell r="E22">
            <v>22913</v>
          </cell>
        </row>
        <row r="24">
          <cell r="E24">
            <v>19000</v>
          </cell>
        </row>
        <row r="26">
          <cell r="E26">
            <v>4164</v>
          </cell>
        </row>
        <row r="27">
          <cell r="E27">
            <v>21500</v>
          </cell>
        </row>
      </sheetData>
      <sheetData sheetId="1" refreshError="1"/>
      <sheetData sheetId="2">
        <row r="2">
          <cell r="A2" t="str">
            <v>Pending</v>
          </cell>
          <cell r="B2">
            <v>1</v>
          </cell>
        </row>
        <row r="3">
          <cell r="A3" t="str">
            <v>Approved</v>
          </cell>
          <cell r="B3">
            <v>1</v>
          </cell>
        </row>
        <row r="4">
          <cell r="A4" t="str">
            <v>Denied</v>
          </cell>
          <cell r="B4">
            <v>0</v>
          </cell>
        </row>
        <row r="5">
          <cell r="A5" t="str">
            <v>Dropped</v>
          </cell>
          <cell r="B5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spreadsheets/d/1NerQubqNkp-Qsdq1zYlOpTWlqQhO4mGwpXwgXtAWsFw/edit?usp=sharing" TargetMode="External"/><Relationship Id="rId18" Type="http://schemas.openxmlformats.org/officeDocument/2006/relationships/hyperlink" Target="https://docs.google.com/spreadsheets/d/1Kb1zxBSv5RGNAh8nKS5rknPZsMgPS1-KoDhBoCZldjo/edit?usp=sharing" TargetMode="External"/><Relationship Id="rId26" Type="http://schemas.openxmlformats.org/officeDocument/2006/relationships/hyperlink" Target="https://charityvillage.com/learning-centre/courses/management-leadership-bundle/" TargetMode="External"/><Relationship Id="rId39" Type="http://schemas.openxmlformats.org/officeDocument/2006/relationships/hyperlink" Target="https://www.canada.ca/en/revenue-agency/services/charities-giving/charities/policies-guidance/fundraising-registered-charities-guidance.html" TargetMode="External"/><Relationship Id="rId21" Type="http://schemas.openxmlformats.org/officeDocument/2006/relationships/hyperlink" Target="https://docs.google.com/spreadsheets/d/1NerQubqNkp-Qsdq1zYlOpTWlqQhO4mGwpXwgXtAWsFw/edit?usp=sharing" TargetMode="External"/><Relationship Id="rId34" Type="http://schemas.openxmlformats.org/officeDocument/2006/relationships/hyperlink" Target="https://alliance2030.ca/about/" TargetMode="External"/><Relationship Id="rId42" Type="http://schemas.openxmlformats.org/officeDocument/2006/relationships/hyperlink" Target="https://docs.google.com/spreadsheets/d/1Kb1zxBSv5RGNAh8nKS5rknPZsMgPS1-KoDhBoCZldjo/edit?usp=sharing" TargetMode="External"/><Relationship Id="rId47" Type="http://schemas.openxmlformats.org/officeDocument/2006/relationships/hyperlink" Target="https://docs.google.com/spreadsheets/d/1vTzXbCBbPHMUmV9CxSvprF0KHtXjUvDQ-qdiTReBmwA/edit?usp=sharing" TargetMode="External"/><Relationship Id="rId50" Type="http://schemas.openxmlformats.org/officeDocument/2006/relationships/hyperlink" Target="https://docs.google.com/document/d/1cHPRjPtOSbx3TJLmBTmyRYeST99vVfzW53-khIs6eUk/edit?usp=sharing" TargetMode="External"/><Relationship Id="rId55" Type="http://schemas.openxmlformats.org/officeDocument/2006/relationships/hyperlink" Target="https://docs.google.com/document/d/1cHPRjPtOSbx3TJLmBTmyRYeST99vVfzW53-khIs6eUk/edit?usp=sharing" TargetMode="External"/><Relationship Id="rId7" Type="http://schemas.openxmlformats.org/officeDocument/2006/relationships/hyperlink" Target="https://docs.google.com/spreadsheets/d/1J22pMf8y_QAz-cV_rRPmMnFlsBe6FyFIyZhLd2yW4Dw/edit?usp=sharing" TargetMode="External"/><Relationship Id="rId2" Type="http://schemas.openxmlformats.org/officeDocument/2006/relationships/hyperlink" Target="https://docs.google.com/spreadsheets/d/14exaw-_L77XIVUYDlQpAw_Q96O0omfr9mk_3ddQ_PNw/edit?usp=sharing" TargetMode="External"/><Relationship Id="rId16" Type="http://schemas.openxmlformats.org/officeDocument/2006/relationships/hyperlink" Target="https://www.canada.ca/en/employment-social-development/services/funding/canada-summer-jobs.html" TargetMode="External"/><Relationship Id="rId29" Type="http://schemas.openxmlformats.org/officeDocument/2006/relationships/hyperlink" Target="https://mbeconetwork.org/get-involved/become-a-member-2/" TargetMode="External"/><Relationship Id="rId11" Type="http://schemas.openxmlformats.org/officeDocument/2006/relationships/hyperlink" Target="http://v/" TargetMode="External"/><Relationship Id="rId24" Type="http://schemas.openxmlformats.org/officeDocument/2006/relationships/hyperlink" Target="https://docs.google.com/document/d/1cHPRjPtOSbx3TJLmBTmyRYeST99vVfzW53-khIs6eUk/edit?usp=sharing" TargetMode="External"/><Relationship Id="rId32" Type="http://schemas.openxmlformats.org/officeDocument/2006/relationships/hyperlink" Target="https://ccednet-rcdec.ca/en/civicrm/contribute/transact?reset=1&amp;id=2" TargetMode="External"/><Relationship Id="rId37" Type="http://schemas.openxmlformats.org/officeDocument/2006/relationships/hyperlink" Target="https://wintercycling.org/join" TargetMode="External"/><Relationship Id="rId40" Type="http://schemas.openxmlformats.org/officeDocument/2006/relationships/hyperlink" Target="https://docs.google.com/spreadsheets/d/1zM7eQ9R7WGL7106Ha5Wg29zoIMeXAobIfeb-sSyXGPU/edit?usp=sharing" TargetMode="External"/><Relationship Id="rId45" Type="http://schemas.openxmlformats.org/officeDocument/2006/relationships/hyperlink" Target="https://docs.google.com/document/d/1cHPRjPtOSbx3TJLmBTmyRYeST99vVfzW53-khIs6eUk/edit?usp=sharing" TargetMode="External"/><Relationship Id="rId53" Type="http://schemas.openxmlformats.org/officeDocument/2006/relationships/hyperlink" Target="https://charityvillage.com/learning-centre/courses/special-events-bundle/" TargetMode="External"/><Relationship Id="rId58" Type="http://schemas.openxmlformats.org/officeDocument/2006/relationships/hyperlink" Target="https://www.cfoselections.com/perspective/in-kind-donations-accounting-and-reporting-for-nonprofits" TargetMode="External"/><Relationship Id="rId5" Type="http://schemas.openxmlformats.org/officeDocument/2006/relationships/hyperlink" Target="https://docs.google.com/spreadsheets/d/1uM68lfVXBXnL14jWPPQdZxwf5lCyj4kAPY1-_t2FIeg/edit?usp=sharing" TargetMode="External"/><Relationship Id="rId19" Type="http://schemas.openxmlformats.org/officeDocument/2006/relationships/hyperlink" Target="https://docs.google.com/spreadsheets/d/1jLjbmAll0VsJh3VuSNxPpxyQmYIR4SIRmqdcxV4d0Wo/edit?usp=sharing" TargetMode="External"/><Relationship Id="rId4" Type="http://schemas.openxmlformats.org/officeDocument/2006/relationships/hyperlink" Target="https://www.canada.ca/en/revenue-agency/services/charities-giving/charities/policies-guidance/fundraising-registered-charities-guidance.html" TargetMode="External"/><Relationship Id="rId9" Type="http://schemas.openxmlformats.org/officeDocument/2006/relationships/hyperlink" Target="https://docs.google.com/spreadsheets/d/1uM68lfVXBXnL14jWPPQdZxwf5lCyj4kAPY1-_t2FIeg/edit?usp=sharing" TargetMode="External"/><Relationship Id="rId14" Type="http://schemas.openxmlformats.org/officeDocument/2006/relationships/hyperlink" Target="https://docs.google.com/spreadsheets/d/1NerQubqNkp-Qsdq1zYlOpTWlqQhO4mGwpXwgXtAWsFw/edit?usp=sharing" TargetMode="External"/><Relationship Id="rId22" Type="http://schemas.openxmlformats.org/officeDocument/2006/relationships/hyperlink" Target="https://docs.google.com/spreadsheets/d/1vTzXbCBbPHMUmV9CxSvprF0KHtXjUvDQ-qdiTReBmwA/edit?usp=sharing" TargetMode="External"/><Relationship Id="rId27" Type="http://schemas.openxmlformats.org/officeDocument/2006/relationships/hyperlink" Target="https://charityvillage.com/learning-centre/courses/management-leadership-bundle/" TargetMode="External"/><Relationship Id="rId30" Type="http://schemas.openxmlformats.org/officeDocument/2006/relationships/hyperlink" Target="https://greenactioncentre.ca/support/become-a-member/" TargetMode="External"/><Relationship Id="rId35" Type="http://schemas.openxmlformats.org/officeDocument/2006/relationships/hyperlink" Target="https://www.ite.org/membership/become-a-member/dues/" TargetMode="External"/><Relationship Id="rId43" Type="http://schemas.openxmlformats.org/officeDocument/2006/relationships/hyperlink" Target="https://charityvillage.com/learning-centre/courses/fundraising-bundle/" TargetMode="External"/><Relationship Id="rId48" Type="http://schemas.openxmlformats.org/officeDocument/2006/relationships/hyperlink" Target="https://docs.google.com/spreadsheets/d/1NerQubqNkp-Qsdq1zYlOpTWlqQhO4mGwpXwgXtAWsFw/edit?usp=sharing" TargetMode="External"/><Relationship Id="rId56" Type="http://schemas.openxmlformats.org/officeDocument/2006/relationships/hyperlink" Target="https://docs.google.com/spreadsheets/d/1vTzXbCBbPHMUmV9CxSvprF0KHtXjUvDQ-qdiTReBmwA/edit?usp=sharing" TargetMode="External"/><Relationship Id="rId8" Type="http://schemas.openxmlformats.org/officeDocument/2006/relationships/hyperlink" Target="https://drive.google.com/drive/folders/1VptGX3Im4MoGdF_gpPx7cmvaZ7gt_a3t?usp=sharing" TargetMode="External"/><Relationship Id="rId51" Type="http://schemas.openxmlformats.org/officeDocument/2006/relationships/hyperlink" Target="https://docs.google.com/document/d/1cHPRjPtOSbx3TJLmBTmyRYeST99vVfzW53-khIs6eUk/edit?usp=sharing" TargetMode="External"/><Relationship Id="rId3" Type="http://schemas.openxmlformats.org/officeDocument/2006/relationships/hyperlink" Target="https://drive.google.com/file/d/1z9zB4I3IUJYBDWYJWK-e42Gqm2ktGwa5/view?usp=sharing" TargetMode="External"/><Relationship Id="rId12" Type="http://schemas.openxmlformats.org/officeDocument/2006/relationships/hyperlink" Target="https://docs.google.com/spreadsheets/d/1NerQubqNkp-Qsdq1zYlOpTWlqQhO4mGwpXwgXtAWsFw/edit?usp=sharing" TargetMode="External"/><Relationship Id="rId17" Type="http://schemas.openxmlformats.org/officeDocument/2006/relationships/hyperlink" Target="https://docs.google.com/spreadsheets/d/1NerQubqNkp-Qsdq1zYlOpTWlqQhO4mGwpXwgXtAWsFw/edit?usp=sharing" TargetMode="External"/><Relationship Id="rId25" Type="http://schemas.openxmlformats.org/officeDocument/2006/relationships/hyperlink" Target="https://docs.google.com/spreadsheets/d/1vTzXbCBbPHMUmV9CxSvprF0KHtXjUvDQ-qdiTReBmwA/edit?usp=sharing" TargetMode="External"/><Relationship Id="rId33" Type="http://schemas.openxmlformats.org/officeDocument/2006/relationships/hyperlink" Target="https://climateactionnetwork.ca/" TargetMode="External"/><Relationship Id="rId38" Type="http://schemas.openxmlformats.org/officeDocument/2006/relationships/hyperlink" Target="https://drive.google.com/drive/folders/1RzUEB-bc8vtrzvTtQW2NnWBGatBHRQFX?usp=sharing" TargetMode="External"/><Relationship Id="rId46" Type="http://schemas.openxmlformats.org/officeDocument/2006/relationships/hyperlink" Target="https://docs.google.com/document/d/1cHPRjPtOSbx3TJLmBTmyRYeST99vVfzW53-khIs6eUk/edit?usp=sharing" TargetMode="External"/><Relationship Id="rId59" Type="http://schemas.openxmlformats.org/officeDocument/2006/relationships/printerSettings" Target="../printerSettings/printerSettings2.bin"/><Relationship Id="rId20" Type="http://schemas.openxmlformats.org/officeDocument/2006/relationships/hyperlink" Target="https://docs.google.com/spreadsheets/d/1jLjbmAll0VsJh3VuSNxPpxyQmYIR4SIRmqdcxV4d0Wo/edit?usp=sharing" TargetMode="External"/><Relationship Id="rId41" Type="http://schemas.openxmlformats.org/officeDocument/2006/relationships/hyperlink" Target="https://docs.google.com/spreadsheets/d/1jLjbmAll0VsJh3VuSNxPpxyQmYIR4SIRmqdcxV4d0Wo/edit?usp=sharing" TargetMode="External"/><Relationship Id="rId54" Type="http://schemas.openxmlformats.org/officeDocument/2006/relationships/hyperlink" Target="https://charityvillage.com/learning-centre/courses/special-events-bundle/" TargetMode="External"/><Relationship Id="rId1" Type="http://schemas.openxmlformats.org/officeDocument/2006/relationships/hyperlink" Target="https://docs.google.com/document/d/1Rqkl4KS6Sb3DDtcJF4EuavtIzc8es0gBeqqGYyGWdz0/edit?usp=sharing" TargetMode="External"/><Relationship Id="rId6" Type="http://schemas.openxmlformats.org/officeDocument/2006/relationships/hyperlink" Target="https://docs.google.com/spreadsheets/d/1f4lkSAWekEgmkv1SsRArQz2DD_GaIl2HElo-5hedvsY/edit?usp=sharing" TargetMode="External"/><Relationship Id="rId15" Type="http://schemas.openxmlformats.org/officeDocument/2006/relationships/hyperlink" Target="https://docs.google.com/spreadsheets/d/1vTzXbCBbPHMUmV9CxSvprF0KHtXjUvDQ-qdiTReBmwA/edit?usp=sharing" TargetMode="External"/><Relationship Id="rId23" Type="http://schemas.openxmlformats.org/officeDocument/2006/relationships/hyperlink" Target="https://boardsource.org/board-support/membership/board-support-nonprofits/" TargetMode="External"/><Relationship Id="rId28" Type="http://schemas.openxmlformats.org/officeDocument/2006/relationships/hyperlink" Target="https://v233locanadabikes.wildapricot.org/join-us/" TargetMode="External"/><Relationship Id="rId36" Type="http://schemas.openxmlformats.org/officeDocument/2006/relationships/hyperlink" Target="https://www.apbp.org/membership1" TargetMode="External"/><Relationship Id="rId49" Type="http://schemas.openxmlformats.org/officeDocument/2006/relationships/hyperlink" Target="https://docs.google.com/document/d/1cHPRjPtOSbx3TJLmBTmyRYeST99vVfzW53-khIs6eUk/edit?usp=sharing" TargetMode="External"/><Relationship Id="rId57" Type="http://schemas.openxmlformats.org/officeDocument/2006/relationships/hyperlink" Target="https://drive.google.com/file/d/1lBmNg5Ddc0AvDZWeSsfLHnwLfW7cw4dP/view?usp=sharing" TargetMode="External"/><Relationship Id="rId10" Type="http://schemas.openxmlformats.org/officeDocument/2006/relationships/hyperlink" Target="https://docs.google.com/spreadsheets/d/1NerQubqNkp-Qsdq1zYlOpTWlqQhO4mGwpXwgXtAWsFw/edit?usp=sharing" TargetMode="External"/><Relationship Id="rId31" Type="http://schemas.openxmlformats.org/officeDocument/2006/relationships/hyperlink" Target="https://www.trailsmanitoba.ca/get-involved/membership/" TargetMode="External"/><Relationship Id="rId44" Type="http://schemas.openxmlformats.org/officeDocument/2006/relationships/hyperlink" Target="https://charityvillage.com/learning-centre/courses/fundraising-bundle/" TargetMode="External"/><Relationship Id="rId52" Type="http://schemas.openxmlformats.org/officeDocument/2006/relationships/hyperlink" Target="https://docs.google.com/document/d/1cHPRjPtOSbx3TJLmBTmyRYeST99vVfzW53-khIs6eUk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T112"/>
  <sheetViews>
    <sheetView tabSelected="1" zoomScale="85" zoomScaleNormal="85" workbookViewId="0">
      <pane ySplit="7" topLeftCell="A17" activePane="bottomLeft" state="frozen"/>
      <selection pane="bottomLeft" activeCell="C112" sqref="C112"/>
    </sheetView>
  </sheetViews>
  <sheetFormatPr defaultRowHeight="15" x14ac:dyDescent="0.25"/>
  <cols>
    <col min="1" max="1" width="5.5703125" style="30" customWidth="1"/>
    <col min="2" max="2" width="3.85546875" style="30" customWidth="1"/>
    <col min="3" max="3" width="10.28515625" style="30" bestFit="1" customWidth="1"/>
    <col min="4" max="4" width="23.28515625" style="30" customWidth="1"/>
    <col min="5" max="5" width="10.7109375" style="41" bestFit="1" customWidth="1"/>
    <col min="6" max="6" width="10.5703125" style="31" customWidth="1"/>
    <col min="7" max="7" width="2.85546875" style="31" customWidth="1"/>
    <col min="8" max="9" width="10.5703125" style="31" customWidth="1"/>
    <col min="10" max="10" width="2.85546875" style="31" customWidth="1"/>
    <col min="11" max="11" width="10.7109375" style="32" customWidth="1"/>
    <col min="12" max="12" width="2.85546875" style="31" customWidth="1"/>
    <col min="13" max="13" width="10.7109375" style="41" bestFit="1" customWidth="1"/>
    <col min="14" max="14" width="10.5703125" style="31" customWidth="1"/>
    <col min="15" max="15" width="2.85546875" style="31" customWidth="1"/>
    <col min="16" max="16" width="11.28515625" style="32" bestFit="1" customWidth="1"/>
    <col min="17" max="17" width="9.140625" style="30"/>
    <col min="18" max="18" width="11.140625" style="33" bestFit="1" customWidth="1"/>
    <col min="19" max="20" width="10.5703125" style="33" bestFit="1" customWidth="1"/>
    <col min="21" max="21" width="9.140625" style="30"/>
    <col min="22" max="22" width="11.140625" style="30" bestFit="1" customWidth="1"/>
    <col min="23" max="16384" width="9.140625" style="30"/>
  </cols>
  <sheetData>
    <row r="1" spans="1:20" s="1" customFormat="1" x14ac:dyDescent="0.25">
      <c r="A1" s="48" t="s">
        <v>51</v>
      </c>
      <c r="B1" s="48"/>
      <c r="C1" s="48"/>
      <c r="D1" s="49"/>
      <c r="E1" s="51"/>
      <c r="F1" s="48"/>
      <c r="G1" s="48"/>
      <c r="H1" s="48"/>
      <c r="I1" s="48"/>
      <c r="J1" s="48"/>
      <c r="K1" s="50"/>
      <c r="L1" s="48"/>
      <c r="M1" s="51"/>
      <c r="N1" s="48"/>
      <c r="O1" s="48"/>
      <c r="P1" s="50"/>
      <c r="R1" s="2"/>
      <c r="S1" s="2"/>
      <c r="T1" s="2"/>
    </row>
    <row r="2" spans="1:20" s="1" customFormat="1" x14ac:dyDescent="0.25">
      <c r="A2" s="48" t="s">
        <v>78</v>
      </c>
      <c r="B2" s="48"/>
      <c r="C2" s="48"/>
      <c r="D2" s="49"/>
      <c r="E2" s="51"/>
      <c r="F2" s="48"/>
      <c r="G2" s="48"/>
      <c r="H2" s="48"/>
      <c r="I2" s="48"/>
      <c r="J2" s="48"/>
      <c r="K2" s="48"/>
      <c r="L2" s="48"/>
      <c r="M2" s="51"/>
      <c r="N2" s="48"/>
      <c r="O2" s="48"/>
      <c r="P2" s="48"/>
      <c r="R2" s="2"/>
      <c r="S2" s="2"/>
      <c r="T2" s="2"/>
    </row>
    <row r="3" spans="1:20" s="1" customFormat="1" x14ac:dyDescent="0.25">
      <c r="A3" s="48">
        <v>2022</v>
      </c>
      <c r="B3" s="48"/>
      <c r="C3" s="48"/>
      <c r="D3" s="49"/>
      <c r="E3" s="51"/>
      <c r="F3" s="48"/>
      <c r="G3" s="48"/>
      <c r="H3" s="48"/>
      <c r="I3" s="48"/>
      <c r="J3" s="48"/>
      <c r="K3" s="50"/>
      <c r="L3" s="48"/>
      <c r="M3" s="51"/>
      <c r="N3" s="48"/>
      <c r="O3" s="48"/>
      <c r="P3" s="50"/>
      <c r="R3" s="2"/>
      <c r="S3" s="2"/>
      <c r="T3" s="2"/>
    </row>
    <row r="4" spans="1:20" s="1" customFormat="1" ht="15.75" thickBot="1" x14ac:dyDescent="0.3">
      <c r="A4" s="52"/>
      <c r="B4" s="52"/>
      <c r="C4" s="52"/>
      <c r="D4" s="53"/>
      <c r="E4" s="55"/>
      <c r="F4" s="52"/>
      <c r="G4" s="52"/>
      <c r="H4" s="52"/>
      <c r="I4" s="52"/>
      <c r="J4" s="52"/>
      <c r="K4" s="54"/>
      <c r="L4" s="52"/>
      <c r="M4" s="55"/>
      <c r="N4" s="52"/>
      <c r="O4" s="52"/>
      <c r="P4" s="54"/>
      <c r="R4" s="7"/>
      <c r="S4" s="2"/>
      <c r="T4" s="2"/>
    </row>
    <row r="6" spans="1:20" x14ac:dyDescent="0.25">
      <c r="H6" s="70"/>
      <c r="I6" s="70"/>
      <c r="K6" s="57" t="s">
        <v>2</v>
      </c>
      <c r="P6" s="57" t="s">
        <v>2</v>
      </c>
    </row>
    <row r="7" spans="1:20" s="1" customFormat="1" ht="15" customHeight="1" x14ac:dyDescent="0.25">
      <c r="E7" s="69" t="s">
        <v>75</v>
      </c>
      <c r="F7" s="70"/>
      <c r="G7" s="3"/>
      <c r="H7" s="69" t="s">
        <v>54</v>
      </c>
      <c r="I7" s="70"/>
      <c r="J7" s="3"/>
      <c r="K7" s="56" t="s">
        <v>76</v>
      </c>
      <c r="L7" s="3"/>
      <c r="M7" s="69" t="s">
        <v>77</v>
      </c>
      <c r="N7" s="70"/>
      <c r="O7" s="3"/>
      <c r="P7" s="56" t="s">
        <v>76</v>
      </c>
      <c r="Q7" s="35"/>
      <c r="R7" s="2"/>
      <c r="S7" s="2"/>
      <c r="T7" s="2"/>
    </row>
    <row r="9" spans="1:20" s="4" customFormat="1" x14ac:dyDescent="0.25">
      <c r="A9" s="4" t="s">
        <v>0</v>
      </c>
      <c r="E9" s="36"/>
      <c r="F9" s="5"/>
      <c r="G9" s="5"/>
      <c r="H9" s="5"/>
      <c r="I9" s="5"/>
      <c r="J9" s="5"/>
      <c r="K9" s="6"/>
      <c r="L9" s="5"/>
      <c r="M9" s="36"/>
      <c r="N9" s="5"/>
      <c r="O9" s="5"/>
      <c r="P9" s="6"/>
      <c r="S9" s="7"/>
      <c r="T9" s="7"/>
    </row>
    <row r="10" spans="1:20" s="8" customFormat="1" x14ac:dyDescent="0.25">
      <c r="B10" s="8" t="s">
        <v>5</v>
      </c>
      <c r="E10" s="9">
        <f>6000+6000</f>
        <v>12000</v>
      </c>
      <c r="F10" s="10"/>
      <c r="G10" s="10"/>
      <c r="H10" s="9">
        <f>6000+6000</f>
        <v>12000</v>
      </c>
      <c r="I10" s="10"/>
      <c r="J10" s="10"/>
      <c r="K10" s="59">
        <f>+E10-H10</f>
        <v>0</v>
      </c>
      <c r="L10" s="10"/>
      <c r="M10" s="42">
        <f>15725.1+2520-800</f>
        <v>17445.099999999999</v>
      </c>
      <c r="N10" s="10"/>
      <c r="O10" s="10"/>
      <c r="P10" s="59">
        <f>+E10-M10</f>
        <v>-5445.0999999999985</v>
      </c>
      <c r="R10" s="12"/>
      <c r="S10" s="12"/>
      <c r="T10" s="12"/>
    </row>
    <row r="11" spans="1:20" s="8" customFormat="1" x14ac:dyDescent="0.25">
      <c r="B11" s="8" t="s">
        <v>1</v>
      </c>
      <c r="E11" s="10">
        <v>6000</v>
      </c>
      <c r="F11" s="10"/>
      <c r="G11" s="10"/>
      <c r="H11" s="10">
        <v>6000</v>
      </c>
      <c r="I11" s="10"/>
      <c r="J11" s="10"/>
      <c r="K11" s="60">
        <f>+E11-H11</f>
        <v>0</v>
      </c>
      <c r="L11" s="10"/>
      <c r="M11" s="37">
        <v>750</v>
      </c>
      <c r="N11" s="10"/>
      <c r="O11" s="10"/>
      <c r="P11" s="60">
        <f>+E11-M11</f>
        <v>5250</v>
      </c>
      <c r="R11" s="12"/>
      <c r="S11" s="12"/>
      <c r="T11" s="12"/>
    </row>
    <row r="12" spans="1:20" s="8" customFormat="1" x14ac:dyDescent="0.25">
      <c r="B12" s="8" t="s">
        <v>11</v>
      </c>
      <c r="E12" s="34">
        <v>0</v>
      </c>
      <c r="F12" s="10"/>
      <c r="G12" s="10"/>
      <c r="H12" s="34">
        <v>0</v>
      </c>
      <c r="I12" s="10"/>
      <c r="J12" s="10"/>
      <c r="K12" s="64">
        <f>+E12+H12</f>
        <v>0</v>
      </c>
      <c r="L12" s="10"/>
      <c r="M12" s="38">
        <v>19.079999999999998</v>
      </c>
      <c r="N12" s="10"/>
      <c r="O12" s="10"/>
      <c r="P12" s="64">
        <f>+E12-M12</f>
        <v>-19.079999999999998</v>
      </c>
      <c r="R12" s="12"/>
      <c r="S12" s="12"/>
      <c r="T12" s="12"/>
    </row>
    <row r="13" spans="1:20" s="8" customFormat="1" x14ac:dyDescent="0.25">
      <c r="B13" s="8" t="s">
        <v>71</v>
      </c>
      <c r="E13" s="13">
        <v>0</v>
      </c>
      <c r="F13" s="10"/>
      <c r="G13" s="10"/>
      <c r="H13" s="13">
        <v>0</v>
      </c>
      <c r="I13" s="10"/>
      <c r="J13" s="10"/>
      <c r="K13" s="61">
        <f>+E13+H13</f>
        <v>0</v>
      </c>
      <c r="L13" s="10"/>
      <c r="M13" s="13">
        <f>11678.94+800</f>
        <v>12478.94</v>
      </c>
      <c r="N13" s="10"/>
      <c r="O13" s="10"/>
      <c r="P13" s="61">
        <f>+E13-M13</f>
        <v>-12478.94</v>
      </c>
      <c r="R13" s="12"/>
      <c r="S13" s="12"/>
      <c r="T13" s="12"/>
    </row>
    <row r="14" spans="1:20" s="8" customFormat="1" x14ac:dyDescent="0.25">
      <c r="E14" s="37"/>
      <c r="F14" s="10"/>
      <c r="G14" s="10"/>
      <c r="H14" s="10"/>
      <c r="I14" s="10"/>
      <c r="J14" s="10"/>
      <c r="K14" s="11"/>
      <c r="L14" s="10"/>
      <c r="M14" s="37"/>
      <c r="N14" s="10"/>
      <c r="O14" s="10"/>
      <c r="P14" s="11"/>
      <c r="R14" s="12"/>
      <c r="S14" s="12"/>
      <c r="T14" s="12"/>
    </row>
    <row r="15" spans="1:20" s="4" customFormat="1" x14ac:dyDescent="0.25">
      <c r="A15" s="4" t="s">
        <v>3</v>
      </c>
      <c r="E15" s="36"/>
      <c r="F15" s="15">
        <f>SUM(E10:E14)</f>
        <v>18000</v>
      </c>
      <c r="G15" s="15"/>
      <c r="H15" s="15"/>
      <c r="I15" s="15">
        <f>SUM(H10:H14)</f>
        <v>18000</v>
      </c>
      <c r="J15" s="15"/>
      <c r="K15" s="16">
        <f>+F15-I15</f>
        <v>0</v>
      </c>
      <c r="L15" s="15"/>
      <c r="M15" s="36"/>
      <c r="N15" s="15">
        <f>SUM(M10:M14)</f>
        <v>30693.120000000003</v>
      </c>
      <c r="O15" s="15"/>
      <c r="P15" s="16">
        <f>+F15-N15</f>
        <v>-12693.120000000003</v>
      </c>
      <c r="R15" s="7"/>
      <c r="S15" s="7"/>
      <c r="T15" s="7"/>
    </row>
    <row r="16" spans="1:20" s="8" customFormat="1" x14ac:dyDescent="0.25">
      <c r="E16" s="37"/>
      <c r="F16" s="10"/>
      <c r="G16" s="10"/>
      <c r="H16" s="10"/>
      <c r="I16" s="10"/>
      <c r="J16" s="10"/>
      <c r="K16" s="11"/>
      <c r="L16" s="10"/>
      <c r="M16" s="37"/>
      <c r="N16" s="10"/>
      <c r="O16" s="10"/>
      <c r="P16" s="11"/>
      <c r="R16" s="12"/>
      <c r="S16" s="12"/>
      <c r="T16" s="12"/>
    </row>
    <row r="17" spans="1:20" s="4" customFormat="1" x14ac:dyDescent="0.25">
      <c r="A17" s="4" t="s">
        <v>4</v>
      </c>
      <c r="E17" s="36"/>
      <c r="F17" s="5"/>
      <c r="G17" s="5"/>
      <c r="H17" s="5"/>
      <c r="I17" s="5"/>
      <c r="J17" s="5"/>
      <c r="K17" s="43"/>
      <c r="L17" s="5"/>
      <c r="M17" s="36"/>
      <c r="N17" s="5"/>
      <c r="O17" s="5"/>
      <c r="P17" s="6"/>
      <c r="R17" s="7"/>
      <c r="S17" s="7"/>
      <c r="T17" s="7"/>
    </row>
    <row r="18" spans="1:20" s="8" customFormat="1" x14ac:dyDescent="0.25">
      <c r="B18" s="8" t="s">
        <v>18</v>
      </c>
      <c r="E18" s="37">
        <v>1200</v>
      </c>
      <c r="F18" s="10"/>
      <c r="G18" s="10"/>
      <c r="H18" s="10">
        <v>0</v>
      </c>
      <c r="I18" s="10"/>
      <c r="J18" s="10"/>
      <c r="K18" s="44">
        <f>+H18-E18</f>
        <v>-1200</v>
      </c>
      <c r="L18" s="10"/>
      <c r="M18" s="37">
        <v>0</v>
      </c>
      <c r="N18" s="10"/>
      <c r="O18" s="10"/>
      <c r="P18" s="44">
        <f t="shared" ref="P18:P31" si="0">-E18+M18</f>
        <v>-1200</v>
      </c>
      <c r="Q18" s="35"/>
      <c r="R18" s="12"/>
      <c r="S18" s="12"/>
      <c r="T18" s="12"/>
    </row>
    <row r="19" spans="1:20" s="8" customFormat="1" x14ac:dyDescent="0.25">
      <c r="B19" s="8" t="s">
        <v>31</v>
      </c>
      <c r="E19" s="37">
        <v>1496</v>
      </c>
      <c r="F19" s="10"/>
      <c r="G19" s="10"/>
      <c r="H19" s="10">
        <f>500+250</f>
        <v>750</v>
      </c>
      <c r="I19" s="10"/>
      <c r="J19" s="10"/>
      <c r="K19" s="44">
        <f t="shared" ref="K19:K31" si="1">+H19-E19</f>
        <v>-746</v>
      </c>
      <c r="L19" s="10"/>
      <c r="M19" s="37">
        <v>0</v>
      </c>
      <c r="N19" s="10"/>
      <c r="O19" s="10"/>
      <c r="P19" s="44">
        <f t="shared" si="0"/>
        <v>-1496</v>
      </c>
      <c r="R19" s="12"/>
      <c r="S19" s="12"/>
      <c r="T19" s="12"/>
    </row>
    <row r="20" spans="1:20" s="8" customFormat="1" x14ac:dyDescent="0.25">
      <c r="B20" s="8" t="s">
        <v>20</v>
      </c>
      <c r="E20" s="37">
        <v>1200</v>
      </c>
      <c r="F20" s="10"/>
      <c r="G20" s="10"/>
      <c r="H20" s="10">
        <f>250+250</f>
        <v>500</v>
      </c>
      <c r="I20" s="10"/>
      <c r="J20" s="10"/>
      <c r="K20" s="44">
        <f t="shared" si="1"/>
        <v>-700</v>
      </c>
      <c r="L20" s="10"/>
      <c r="M20" s="37">
        <v>0</v>
      </c>
      <c r="N20" s="10"/>
      <c r="O20" s="10"/>
      <c r="P20" s="44">
        <f t="shared" si="0"/>
        <v>-1200</v>
      </c>
      <c r="R20" s="12"/>
      <c r="S20" s="12"/>
      <c r="T20" s="12"/>
    </row>
    <row r="21" spans="1:20" s="8" customFormat="1" x14ac:dyDescent="0.25">
      <c r="B21" s="8" t="s">
        <v>10</v>
      </c>
      <c r="E21" s="37">
        <v>0</v>
      </c>
      <c r="F21" s="10"/>
      <c r="G21" s="10"/>
      <c r="H21" s="10">
        <v>400</v>
      </c>
      <c r="I21" s="10"/>
      <c r="J21" s="10"/>
      <c r="K21" s="44">
        <f t="shared" si="1"/>
        <v>400</v>
      </c>
      <c r="L21" s="10"/>
      <c r="M21" s="37">
        <v>0</v>
      </c>
      <c r="N21" s="10"/>
      <c r="O21" s="10"/>
      <c r="P21" s="44">
        <f t="shared" si="0"/>
        <v>0</v>
      </c>
      <c r="R21" s="12"/>
      <c r="S21" s="12"/>
      <c r="T21" s="12"/>
    </row>
    <row r="22" spans="1:20" s="8" customFormat="1" x14ac:dyDescent="0.25">
      <c r="B22" s="8" t="s">
        <v>17</v>
      </c>
      <c r="E22" s="37">
        <v>0</v>
      </c>
      <c r="F22" s="10"/>
      <c r="G22" s="10"/>
      <c r="H22" s="10">
        <v>0</v>
      </c>
      <c r="I22" s="10"/>
      <c r="J22" s="10"/>
      <c r="K22" s="44">
        <f t="shared" si="1"/>
        <v>0</v>
      </c>
      <c r="L22" s="10"/>
      <c r="M22" s="37">
        <v>21</v>
      </c>
      <c r="N22" s="10"/>
      <c r="O22" s="10"/>
      <c r="P22" s="44">
        <f t="shared" si="0"/>
        <v>21</v>
      </c>
      <c r="R22" s="12"/>
      <c r="S22" s="12"/>
      <c r="T22" s="12"/>
    </row>
    <row r="23" spans="1:20" s="8" customFormat="1" x14ac:dyDescent="0.25">
      <c r="B23" s="8" t="s">
        <v>12</v>
      </c>
      <c r="E23" s="37">
        <f>1054+513</f>
        <v>1567</v>
      </c>
      <c r="F23" s="10"/>
      <c r="G23" s="10"/>
      <c r="H23" s="10">
        <f>150+50+20+50+95</f>
        <v>365</v>
      </c>
      <c r="I23" s="10"/>
      <c r="J23" s="10"/>
      <c r="K23" s="44">
        <f t="shared" si="1"/>
        <v>-1202</v>
      </c>
      <c r="L23" s="10"/>
      <c r="M23" s="37">
        <f>150</f>
        <v>150</v>
      </c>
      <c r="N23" s="10"/>
      <c r="O23" s="10"/>
      <c r="P23" s="44">
        <f t="shared" si="0"/>
        <v>-1417</v>
      </c>
      <c r="R23" s="12"/>
      <c r="S23" s="12"/>
      <c r="T23" s="12"/>
    </row>
    <row r="24" spans="1:20" s="8" customFormat="1" x14ac:dyDescent="0.25">
      <c r="B24" s="8" t="s">
        <v>14</v>
      </c>
      <c r="E24" s="37">
        <v>400</v>
      </c>
      <c r="F24" s="10"/>
      <c r="G24" s="10"/>
      <c r="H24" s="10">
        <f>400+500</f>
        <v>900</v>
      </c>
      <c r="I24" s="10"/>
      <c r="J24" s="10"/>
      <c r="K24" s="44">
        <f t="shared" si="1"/>
        <v>500</v>
      </c>
      <c r="L24" s="10"/>
      <c r="M24" s="37">
        <v>259.54000000000002</v>
      </c>
      <c r="N24" s="10"/>
      <c r="O24" s="10"/>
      <c r="P24" s="44">
        <f t="shared" si="0"/>
        <v>-140.45999999999998</v>
      </c>
      <c r="R24" s="12"/>
      <c r="S24" s="12"/>
      <c r="T24" s="12"/>
    </row>
    <row r="25" spans="1:20" s="8" customFormat="1" x14ac:dyDescent="0.25">
      <c r="B25" s="8" t="s">
        <v>15</v>
      </c>
      <c r="E25" s="37">
        <f>300+271+600+476+1825</f>
        <v>3472</v>
      </c>
      <c r="F25" s="10"/>
      <c r="G25" s="10"/>
      <c r="H25" s="10">
        <f>210+180+240+450+300+1000</f>
        <v>2380</v>
      </c>
      <c r="I25" s="10"/>
      <c r="J25" s="10"/>
      <c r="K25" s="44">
        <f t="shared" si="1"/>
        <v>-1092</v>
      </c>
      <c r="L25" s="10"/>
      <c r="M25" s="37">
        <f>101.76+107.35+286.58+2198+553.53+677.24</f>
        <v>3924.46</v>
      </c>
      <c r="N25" s="10"/>
      <c r="O25" s="10"/>
      <c r="P25" s="44">
        <f t="shared" si="0"/>
        <v>452.46000000000004</v>
      </c>
      <c r="R25" s="12" t="s">
        <v>50</v>
      </c>
      <c r="S25" s="12"/>
      <c r="T25" s="12"/>
    </row>
    <row r="26" spans="1:20" s="8" customFormat="1" x14ac:dyDescent="0.25">
      <c r="B26" s="8" t="s">
        <v>62</v>
      </c>
      <c r="E26" s="73">
        <f>75*12</f>
        <v>900</v>
      </c>
      <c r="F26" s="10"/>
      <c r="G26" s="10"/>
      <c r="H26" s="10">
        <v>336</v>
      </c>
      <c r="I26" s="10"/>
      <c r="J26" s="10"/>
      <c r="K26" s="44">
        <f t="shared" si="1"/>
        <v>-564</v>
      </c>
      <c r="L26" s="10"/>
      <c r="M26" s="37">
        <f>488.25+417.85</f>
        <v>906.1</v>
      </c>
      <c r="N26" s="10"/>
      <c r="O26" s="10"/>
      <c r="P26" s="44">
        <f t="shared" si="0"/>
        <v>6.1000000000000227</v>
      </c>
      <c r="R26" s="12"/>
      <c r="S26" s="12"/>
      <c r="T26" s="12"/>
    </row>
    <row r="27" spans="1:20" s="8" customFormat="1" x14ac:dyDescent="0.25">
      <c r="B27" s="8" t="s">
        <v>80</v>
      </c>
      <c r="E27" s="38">
        <f>21445-400</f>
        <v>21045</v>
      </c>
      <c r="F27" s="10"/>
      <c r="G27" s="10"/>
      <c r="H27" s="34">
        <f>1856+3750+2785+9545</f>
        <v>17936</v>
      </c>
      <c r="I27" s="10"/>
      <c r="J27" s="10"/>
      <c r="K27" s="44">
        <f t="shared" si="1"/>
        <v>-3109</v>
      </c>
      <c r="L27" s="10"/>
      <c r="M27" s="38">
        <v>19949.400000000001</v>
      </c>
      <c r="N27" s="10"/>
      <c r="O27" s="10"/>
      <c r="P27" s="44">
        <f t="shared" si="0"/>
        <v>-1095.5999999999985</v>
      </c>
      <c r="R27" s="12"/>
      <c r="S27" s="12"/>
      <c r="T27" s="12"/>
    </row>
    <row r="28" spans="1:20" s="8" customFormat="1" x14ac:dyDescent="0.25">
      <c r="B28" s="8" t="s">
        <v>48</v>
      </c>
      <c r="E28" s="74">
        <f>608*12</f>
        <v>7296</v>
      </c>
      <c r="F28" s="10"/>
      <c r="G28" s="10"/>
      <c r="H28" s="34">
        <v>0</v>
      </c>
      <c r="I28" s="10"/>
      <c r="J28" s="10"/>
      <c r="K28" s="58">
        <f t="shared" si="1"/>
        <v>-7296</v>
      </c>
      <c r="L28" s="10"/>
      <c r="M28" s="38">
        <v>4360.42</v>
      </c>
      <c r="N28" s="10"/>
      <c r="O28" s="10"/>
      <c r="P28" s="58">
        <f t="shared" si="0"/>
        <v>-2935.58</v>
      </c>
      <c r="R28" s="12" t="s">
        <v>49</v>
      </c>
      <c r="S28" s="12"/>
      <c r="T28" s="12"/>
    </row>
    <row r="29" spans="1:20" s="8" customFormat="1" x14ac:dyDescent="0.25">
      <c r="B29" s="8" t="s">
        <v>58</v>
      </c>
      <c r="E29" s="38">
        <v>0</v>
      </c>
      <c r="F29" s="10"/>
      <c r="G29" s="10"/>
      <c r="H29" s="34">
        <v>0</v>
      </c>
      <c r="I29" s="10"/>
      <c r="J29" s="10"/>
      <c r="K29" s="58">
        <f t="shared" si="1"/>
        <v>0</v>
      </c>
      <c r="L29" s="10"/>
      <c r="M29" s="38">
        <v>1122.2</v>
      </c>
      <c r="N29" s="10"/>
      <c r="O29" s="10"/>
      <c r="P29" s="58">
        <f t="shared" si="0"/>
        <v>1122.2</v>
      </c>
      <c r="R29" s="12"/>
      <c r="S29" s="12"/>
      <c r="T29" s="12"/>
    </row>
    <row r="30" spans="1:20" s="8" customFormat="1" x14ac:dyDescent="0.25">
      <c r="B30" s="8" t="s">
        <v>52</v>
      </c>
      <c r="E30" s="38">
        <v>2140</v>
      </c>
      <c r="F30" s="10"/>
      <c r="G30" s="10"/>
      <c r="H30" s="34">
        <v>1013</v>
      </c>
      <c r="I30" s="10"/>
      <c r="J30" s="10"/>
      <c r="K30" s="58">
        <f t="shared" si="1"/>
        <v>-1127</v>
      </c>
      <c r="L30" s="10"/>
      <c r="M30" s="38">
        <v>0</v>
      </c>
      <c r="N30" s="10"/>
      <c r="O30" s="10"/>
      <c r="P30" s="58">
        <f t="shared" si="0"/>
        <v>-2140</v>
      </c>
      <c r="R30" s="12"/>
      <c r="S30" s="12"/>
      <c r="T30" s="12"/>
    </row>
    <row r="31" spans="1:20" s="8" customFormat="1" x14ac:dyDescent="0.25">
      <c r="B31" s="8" t="s">
        <v>53</v>
      </c>
      <c r="E31" s="39">
        <v>2140</v>
      </c>
      <c r="F31" s="10"/>
      <c r="G31" s="10"/>
      <c r="H31" s="13">
        <v>615</v>
      </c>
      <c r="I31" s="10"/>
      <c r="J31" s="10"/>
      <c r="K31" s="45">
        <f t="shared" si="1"/>
        <v>-1525</v>
      </c>
      <c r="L31" s="10"/>
      <c r="M31" s="39">
        <v>0</v>
      </c>
      <c r="N31" s="10"/>
      <c r="O31" s="10"/>
      <c r="P31" s="45">
        <f t="shared" si="0"/>
        <v>-2140</v>
      </c>
      <c r="R31" s="12"/>
      <c r="S31" s="12"/>
      <c r="T31" s="12"/>
    </row>
    <row r="32" spans="1:20" s="8" customFormat="1" x14ac:dyDescent="0.25">
      <c r="E32" s="37"/>
      <c r="F32" s="10"/>
      <c r="G32" s="10"/>
      <c r="H32" s="10"/>
      <c r="I32" s="10"/>
      <c r="J32" s="10"/>
      <c r="K32" s="11"/>
      <c r="L32" s="10"/>
      <c r="M32" s="37"/>
      <c r="N32" s="10"/>
      <c r="O32" s="10"/>
      <c r="P32" s="11"/>
      <c r="R32" s="12"/>
      <c r="S32" s="12"/>
      <c r="T32" s="12"/>
    </row>
    <row r="33" spans="1:20" s="4" customFormat="1" x14ac:dyDescent="0.25">
      <c r="A33" s="4" t="s">
        <v>16</v>
      </c>
      <c r="E33" s="36"/>
      <c r="F33" s="17">
        <f>SUM(E18:E32)</f>
        <v>42856</v>
      </c>
      <c r="G33" s="18"/>
      <c r="H33" s="18"/>
      <c r="I33" s="17">
        <f>SUM(H18:H32)</f>
        <v>25195</v>
      </c>
      <c r="J33" s="18"/>
      <c r="K33" s="19">
        <f>+F33-I33</f>
        <v>17661</v>
      </c>
      <c r="L33" s="18"/>
      <c r="M33" s="36"/>
      <c r="N33" s="17">
        <f>SUM(M18:M32)</f>
        <v>30693.119999999999</v>
      </c>
      <c r="O33" s="18"/>
      <c r="P33" s="19">
        <f>+N33-F33</f>
        <v>-12162.880000000001</v>
      </c>
      <c r="R33" s="7"/>
      <c r="S33" s="7"/>
      <c r="T33" s="7"/>
    </row>
    <row r="34" spans="1:20" s="4" customFormat="1" x14ac:dyDescent="0.25">
      <c r="E34" s="36"/>
      <c r="F34" s="5"/>
      <c r="G34" s="5"/>
      <c r="H34" s="5"/>
      <c r="I34" s="5"/>
      <c r="J34" s="5"/>
      <c r="K34" s="6"/>
      <c r="L34" s="5"/>
      <c r="M34" s="36"/>
      <c r="N34" s="5"/>
      <c r="O34" s="5"/>
      <c r="P34" s="11"/>
      <c r="R34" s="7"/>
      <c r="S34" s="7"/>
      <c r="T34" s="7"/>
    </row>
    <row r="35" spans="1:20" s="20" customFormat="1" x14ac:dyDescent="0.25">
      <c r="A35" s="20" t="s">
        <v>41</v>
      </c>
      <c r="E35" s="36"/>
      <c r="F35" s="21">
        <f>+F15-F33</f>
        <v>-24856</v>
      </c>
      <c r="G35" s="15"/>
      <c r="H35" s="15"/>
      <c r="I35" s="15">
        <f>+I15-I33</f>
        <v>-7195</v>
      </c>
      <c r="J35" s="15"/>
      <c r="K35" s="16">
        <f>+F35-I35</f>
        <v>-17661</v>
      </c>
      <c r="L35" s="15"/>
      <c r="M35" s="36"/>
      <c r="N35" s="21">
        <f>+N15-N33</f>
        <v>0</v>
      </c>
      <c r="O35" s="15"/>
      <c r="P35" s="16">
        <f>+F35-N35</f>
        <v>-24856</v>
      </c>
      <c r="R35" s="22"/>
      <c r="S35" s="22"/>
      <c r="T35" s="22"/>
    </row>
    <row r="36" spans="1:20" s="4" customFormat="1" x14ac:dyDescent="0.25">
      <c r="E36" s="36"/>
      <c r="F36" s="5"/>
      <c r="G36" s="5"/>
      <c r="H36" s="5"/>
      <c r="I36" s="5"/>
      <c r="J36" s="5"/>
      <c r="K36" s="6"/>
      <c r="L36" s="5"/>
      <c r="M36" s="36"/>
      <c r="N36" s="5"/>
      <c r="O36" s="5"/>
      <c r="P36" s="6"/>
      <c r="R36" s="7"/>
      <c r="S36" s="7"/>
      <c r="T36" s="7"/>
    </row>
    <row r="37" spans="1:20" s="8" customFormat="1" x14ac:dyDescent="0.25">
      <c r="A37" s="4" t="s">
        <v>45</v>
      </c>
      <c r="E37" s="37"/>
      <c r="F37" s="10"/>
      <c r="G37" s="10"/>
      <c r="H37" s="10"/>
      <c r="I37" s="10"/>
      <c r="J37" s="10"/>
      <c r="K37" s="11"/>
      <c r="L37" s="10"/>
      <c r="M37" s="37"/>
      <c r="N37" s="10"/>
      <c r="O37" s="10"/>
      <c r="P37" s="11"/>
      <c r="R37" s="12"/>
      <c r="S37" s="12"/>
      <c r="T37" s="12"/>
    </row>
    <row r="38" spans="1:20" s="8" customFormat="1" x14ac:dyDescent="0.25">
      <c r="B38" s="4" t="s">
        <v>60</v>
      </c>
      <c r="E38" s="40">
        <v>17439</v>
      </c>
      <c r="F38" s="23"/>
      <c r="G38" s="23"/>
      <c r="H38" s="23">
        <v>2000</v>
      </c>
      <c r="I38" s="23"/>
      <c r="J38" s="23"/>
      <c r="K38" s="46"/>
      <c r="L38" s="23"/>
      <c r="M38" s="40">
        <v>2000</v>
      </c>
      <c r="N38" s="23"/>
      <c r="O38" s="23"/>
      <c r="P38" s="46"/>
      <c r="R38" s="12"/>
      <c r="S38" s="12"/>
      <c r="T38" s="12"/>
    </row>
    <row r="39" spans="1:20" s="8" customFormat="1" x14ac:dyDescent="0.25">
      <c r="C39" s="8" t="s">
        <v>22</v>
      </c>
      <c r="E39" s="62"/>
      <c r="F39" s="23"/>
      <c r="G39" s="23"/>
      <c r="H39" s="25">
        <v>0</v>
      </c>
      <c r="I39" s="23"/>
      <c r="J39" s="23"/>
      <c r="K39" s="44"/>
      <c r="L39" s="23"/>
      <c r="M39" s="62">
        <v>0</v>
      </c>
      <c r="N39" s="23"/>
      <c r="O39" s="23"/>
      <c r="P39" s="44"/>
      <c r="R39" s="12"/>
      <c r="S39" s="12"/>
      <c r="T39" s="12"/>
    </row>
    <row r="40" spans="1:20" s="8" customFormat="1" x14ac:dyDescent="0.25">
      <c r="C40" s="8" t="s">
        <v>23</v>
      </c>
      <c r="E40" s="62"/>
      <c r="F40" s="23"/>
      <c r="G40" s="23"/>
      <c r="H40" s="25">
        <v>0</v>
      </c>
      <c r="I40" s="23"/>
      <c r="J40" s="23"/>
      <c r="K40" s="44"/>
      <c r="L40" s="23"/>
      <c r="M40" s="62">
        <v>1102</v>
      </c>
      <c r="N40" s="23"/>
      <c r="O40" s="23"/>
      <c r="P40" s="44"/>
      <c r="R40" s="12"/>
      <c r="S40" s="12"/>
      <c r="T40" s="12"/>
    </row>
    <row r="41" spans="1:20" s="8" customFormat="1" x14ac:dyDescent="0.25">
      <c r="C41" s="8" t="s">
        <v>24</v>
      </c>
      <c r="E41" s="62"/>
      <c r="F41" s="23"/>
      <c r="G41" s="23"/>
      <c r="H41" s="25">
        <v>0</v>
      </c>
      <c r="I41" s="23"/>
      <c r="J41" s="23"/>
      <c r="K41" s="44"/>
      <c r="L41" s="23"/>
      <c r="M41" s="62">
        <v>2690.25</v>
      </c>
      <c r="N41" s="23"/>
      <c r="O41" s="23"/>
      <c r="P41" s="44"/>
      <c r="R41" s="12"/>
      <c r="S41" s="12"/>
      <c r="T41" s="12"/>
    </row>
    <row r="42" spans="1:20" s="8" customFormat="1" x14ac:dyDescent="0.25">
      <c r="C42" s="8" t="s">
        <v>25</v>
      </c>
      <c r="E42" s="25"/>
      <c r="F42" s="23"/>
      <c r="G42" s="23"/>
      <c r="H42" s="25">
        <v>2675</v>
      </c>
      <c r="I42" s="23"/>
      <c r="J42" s="23"/>
      <c r="K42" s="44"/>
      <c r="L42" s="23"/>
      <c r="M42" s="25">
        <f>925+1000</f>
        <v>1925</v>
      </c>
      <c r="N42" s="23"/>
      <c r="O42" s="23"/>
      <c r="P42" s="44"/>
      <c r="R42" s="12"/>
      <c r="S42" s="12"/>
      <c r="T42" s="12"/>
    </row>
    <row r="43" spans="1:20" s="8" customFormat="1" x14ac:dyDescent="0.25">
      <c r="C43" s="8" t="s">
        <v>68</v>
      </c>
      <c r="E43" s="25"/>
      <c r="F43" s="23"/>
      <c r="G43" s="23"/>
      <c r="H43" s="25">
        <v>0</v>
      </c>
      <c r="I43" s="23"/>
      <c r="J43" s="23"/>
      <c r="K43" s="44"/>
      <c r="L43" s="23"/>
      <c r="M43" s="25">
        <v>900</v>
      </c>
      <c r="N43" s="23"/>
      <c r="O43" s="23"/>
      <c r="P43" s="44"/>
      <c r="R43" s="12"/>
      <c r="S43" s="12"/>
      <c r="T43" s="12"/>
    </row>
    <row r="44" spans="1:20" s="8" customFormat="1" x14ac:dyDescent="0.25">
      <c r="C44" s="8" t="s">
        <v>72</v>
      </c>
      <c r="E44" s="25"/>
      <c r="F44" s="23"/>
      <c r="G44" s="23"/>
      <c r="H44" s="25">
        <v>0</v>
      </c>
      <c r="I44" s="23"/>
      <c r="J44" s="23"/>
      <c r="K44" s="44"/>
      <c r="L44" s="23"/>
      <c r="M44" s="25">
        <v>2500</v>
      </c>
      <c r="N44" s="23"/>
      <c r="O44" s="23"/>
      <c r="P44" s="44"/>
      <c r="R44" s="12"/>
      <c r="S44" s="12"/>
      <c r="T44" s="12"/>
    </row>
    <row r="45" spans="1:20" s="8" customFormat="1" x14ac:dyDescent="0.25">
      <c r="C45" s="8" t="s">
        <v>74</v>
      </c>
      <c r="E45" s="25"/>
      <c r="F45" s="23"/>
      <c r="G45" s="23"/>
      <c r="H45" s="25"/>
      <c r="I45" s="23"/>
      <c r="J45" s="23"/>
      <c r="K45" s="44"/>
      <c r="L45" s="23"/>
      <c r="M45" s="25">
        <v>2500</v>
      </c>
      <c r="N45" s="23"/>
      <c r="O45" s="23"/>
      <c r="P45" s="44"/>
      <c r="R45" s="12"/>
      <c r="S45" s="12"/>
      <c r="T45" s="12"/>
    </row>
    <row r="46" spans="1:20" s="8" customFormat="1" x14ac:dyDescent="0.25">
      <c r="C46" s="8" t="s">
        <v>42</v>
      </c>
      <c r="E46" s="25"/>
      <c r="F46" s="23"/>
      <c r="G46" s="23"/>
      <c r="H46" s="25">
        <v>0</v>
      </c>
      <c r="I46" s="23"/>
      <c r="J46" s="23"/>
      <c r="K46" s="44"/>
      <c r="L46" s="23"/>
      <c r="M46" s="25">
        <v>37630</v>
      </c>
      <c r="N46" s="23"/>
      <c r="O46" s="23"/>
      <c r="P46" s="44"/>
      <c r="R46" s="12"/>
      <c r="S46" s="12"/>
      <c r="T46" s="12"/>
    </row>
    <row r="47" spans="1:20" s="8" customFormat="1" x14ac:dyDescent="0.25">
      <c r="C47" s="8" t="s">
        <v>73</v>
      </c>
      <c r="E47" s="25"/>
      <c r="F47" s="23"/>
      <c r="G47" s="23"/>
      <c r="H47" s="25"/>
      <c r="I47" s="23"/>
      <c r="J47" s="23"/>
      <c r="K47" s="44"/>
      <c r="L47" s="23"/>
      <c r="M47" s="25">
        <v>20217.87</v>
      </c>
      <c r="N47" s="23"/>
      <c r="O47" s="23"/>
      <c r="P47" s="44"/>
      <c r="R47" s="12"/>
      <c r="S47" s="12"/>
      <c r="T47" s="12"/>
    </row>
    <row r="48" spans="1:20" s="8" customFormat="1" x14ac:dyDescent="0.25">
      <c r="C48" s="8" t="s">
        <v>44</v>
      </c>
      <c r="E48" s="63"/>
      <c r="F48" s="47"/>
      <c r="G48" s="47"/>
      <c r="H48" s="25">
        <v>0</v>
      </c>
      <c r="I48" s="23"/>
      <c r="J48" s="23"/>
      <c r="K48" s="44"/>
      <c r="L48" s="23"/>
      <c r="M48" s="63">
        <v>2262</v>
      </c>
      <c r="N48" s="47"/>
      <c r="O48" s="23"/>
      <c r="P48" s="44"/>
      <c r="R48" s="12"/>
      <c r="S48" s="12"/>
      <c r="T48" s="12"/>
    </row>
    <row r="49" spans="2:20" s="8" customFormat="1" x14ac:dyDescent="0.25">
      <c r="E49" s="62"/>
      <c r="F49" s="23"/>
      <c r="G49" s="23"/>
      <c r="H49" s="25"/>
      <c r="I49" s="23"/>
      <c r="J49" s="23"/>
      <c r="K49" s="24"/>
      <c r="L49" s="23"/>
      <c r="M49" s="62"/>
      <c r="N49" s="23"/>
      <c r="O49" s="23"/>
      <c r="P49" s="24"/>
      <c r="R49" s="12"/>
      <c r="S49" s="12"/>
      <c r="T49" s="12"/>
    </row>
    <row r="50" spans="2:20" s="8" customFormat="1" x14ac:dyDescent="0.25">
      <c r="B50" s="8" t="s">
        <v>35</v>
      </c>
      <c r="E50" s="62">
        <v>13798</v>
      </c>
      <c r="F50" s="23"/>
      <c r="G50" s="23"/>
      <c r="H50" s="25"/>
      <c r="I50" s="23"/>
      <c r="J50" s="23"/>
      <c r="K50" s="24"/>
      <c r="L50" s="23"/>
      <c r="M50" s="62"/>
      <c r="N50" s="23"/>
      <c r="O50" s="23"/>
      <c r="P50" s="24"/>
      <c r="R50" s="12"/>
      <c r="S50" s="12"/>
      <c r="T50" s="12"/>
    </row>
    <row r="51" spans="2:20" s="8" customFormat="1" x14ac:dyDescent="0.25">
      <c r="C51" s="8" t="s">
        <v>28</v>
      </c>
      <c r="E51" s="62"/>
      <c r="F51" s="23"/>
      <c r="G51" s="23"/>
      <c r="H51" s="25">
        <v>0</v>
      </c>
      <c r="I51" s="23"/>
      <c r="J51" s="23"/>
      <c r="K51" s="44"/>
      <c r="L51" s="23"/>
      <c r="M51" s="62">
        <v>0</v>
      </c>
      <c r="N51" s="23"/>
      <c r="O51" s="23"/>
      <c r="P51" s="44"/>
      <c r="R51" s="12"/>
      <c r="S51" s="12"/>
      <c r="T51" s="12"/>
    </row>
    <row r="52" spans="2:20" s="8" customFormat="1" x14ac:dyDescent="0.25">
      <c r="C52" s="8" t="s">
        <v>29</v>
      </c>
      <c r="E52" s="62"/>
      <c r="F52" s="23"/>
      <c r="G52" s="23"/>
      <c r="H52" s="25">
        <v>0</v>
      </c>
      <c r="I52" s="23"/>
      <c r="J52" s="23"/>
      <c r="K52" s="44"/>
      <c r="L52" s="23"/>
      <c r="M52" s="62">
        <v>831</v>
      </c>
      <c r="N52" s="23"/>
      <c r="O52" s="23"/>
      <c r="P52" s="44"/>
      <c r="R52" s="12"/>
      <c r="S52" s="12"/>
      <c r="T52" s="12"/>
    </row>
    <row r="53" spans="2:20" s="8" customFormat="1" x14ac:dyDescent="0.25">
      <c r="C53" s="8" t="s">
        <v>32</v>
      </c>
      <c r="E53" s="62"/>
      <c r="F53" s="23"/>
      <c r="G53" s="23"/>
      <c r="H53" s="25">
        <v>0</v>
      </c>
      <c r="I53" s="23"/>
      <c r="J53" s="23"/>
      <c r="K53" s="44"/>
      <c r="L53" s="23"/>
      <c r="M53" s="62">
        <v>0</v>
      </c>
      <c r="N53" s="23"/>
      <c r="O53" s="23"/>
      <c r="P53" s="44"/>
      <c r="R53" s="12"/>
      <c r="S53" s="12"/>
      <c r="T53" s="12"/>
    </row>
    <row r="54" spans="2:20" s="8" customFormat="1" x14ac:dyDescent="0.25">
      <c r="C54" s="8" t="s">
        <v>33</v>
      </c>
      <c r="E54" s="62"/>
      <c r="F54" s="23"/>
      <c r="G54" s="23"/>
      <c r="H54" s="25">
        <v>0</v>
      </c>
      <c r="I54" s="23"/>
      <c r="J54" s="23"/>
      <c r="K54" s="44"/>
      <c r="L54" s="23"/>
      <c r="M54" s="62">
        <v>0</v>
      </c>
      <c r="N54" s="23"/>
      <c r="O54" s="23"/>
      <c r="P54" s="44"/>
      <c r="R54" s="12"/>
      <c r="S54" s="12"/>
      <c r="T54" s="12"/>
    </row>
    <row r="55" spans="2:20" s="8" customFormat="1" x14ac:dyDescent="0.25">
      <c r="C55" s="8" t="s">
        <v>34</v>
      </c>
      <c r="E55" s="62"/>
      <c r="F55" s="23"/>
      <c r="G55" s="23"/>
      <c r="H55" s="25">
        <v>0</v>
      </c>
      <c r="I55" s="23"/>
      <c r="J55" s="23"/>
      <c r="K55" s="44"/>
      <c r="L55" s="23"/>
      <c r="M55" s="62">
        <v>1031.58</v>
      </c>
      <c r="N55" s="23"/>
      <c r="O55" s="23"/>
      <c r="P55" s="44"/>
      <c r="R55" s="12"/>
      <c r="S55" s="12"/>
      <c r="T55" s="12"/>
    </row>
    <row r="56" spans="2:20" s="8" customFormat="1" x14ac:dyDescent="0.25">
      <c r="C56" s="8" t="s">
        <v>37</v>
      </c>
      <c r="E56" s="62"/>
      <c r="F56" s="23"/>
      <c r="G56" s="23"/>
      <c r="H56" s="25">
        <v>0</v>
      </c>
      <c r="I56" s="23"/>
      <c r="J56" s="23"/>
      <c r="K56" s="44"/>
      <c r="L56" s="23"/>
      <c r="M56" s="62">
        <v>18696.75</v>
      </c>
      <c r="N56" s="23"/>
      <c r="O56" s="23"/>
      <c r="P56" s="44"/>
      <c r="R56" s="12"/>
      <c r="S56" s="12"/>
      <c r="T56" s="12"/>
    </row>
    <row r="57" spans="2:20" s="8" customFormat="1" x14ac:dyDescent="0.25">
      <c r="C57" s="8" t="s">
        <v>38</v>
      </c>
      <c r="E57" s="62"/>
      <c r="F57" s="23"/>
      <c r="G57" s="23"/>
      <c r="H57" s="25">
        <v>0</v>
      </c>
      <c r="I57" s="23"/>
      <c r="J57" s="23"/>
      <c r="K57" s="44"/>
      <c r="L57" s="23"/>
      <c r="M57" s="62">
        <v>11705.33</v>
      </c>
      <c r="N57" s="23"/>
      <c r="O57" s="23"/>
      <c r="P57" s="44"/>
      <c r="R57" s="12"/>
      <c r="S57" s="12"/>
      <c r="T57" s="12"/>
    </row>
    <row r="58" spans="2:20" s="8" customFormat="1" x14ac:dyDescent="0.25">
      <c r="C58" s="8" t="s">
        <v>59</v>
      </c>
      <c r="E58" s="62"/>
      <c r="F58" s="23"/>
      <c r="G58" s="23"/>
      <c r="H58" s="25">
        <v>0</v>
      </c>
      <c r="I58" s="23"/>
      <c r="J58" s="23"/>
      <c r="K58" s="44"/>
      <c r="L58" s="23"/>
      <c r="M58" s="62">
        <v>5715.24</v>
      </c>
      <c r="N58" s="23"/>
      <c r="O58" s="23"/>
      <c r="P58" s="44"/>
      <c r="R58" s="12"/>
      <c r="S58" s="12"/>
      <c r="T58" s="12"/>
    </row>
    <row r="59" spans="2:20" s="8" customFormat="1" x14ac:dyDescent="0.25">
      <c r="C59" s="8" t="s">
        <v>66</v>
      </c>
      <c r="E59" s="62"/>
      <c r="F59" s="23"/>
      <c r="G59" s="23"/>
      <c r="H59" s="25">
        <v>0</v>
      </c>
      <c r="I59" s="23"/>
      <c r="J59" s="23"/>
      <c r="K59" s="44"/>
      <c r="L59" s="23"/>
      <c r="M59" s="62">
        <v>1894.24</v>
      </c>
      <c r="N59" s="23"/>
      <c r="O59" s="23"/>
      <c r="P59" s="44"/>
      <c r="R59" s="12"/>
      <c r="S59" s="12"/>
      <c r="T59" s="12"/>
    </row>
    <row r="60" spans="2:20" s="8" customFormat="1" x14ac:dyDescent="0.25">
      <c r="C60" s="8" t="s">
        <v>67</v>
      </c>
      <c r="E60" s="62"/>
      <c r="F60" s="23"/>
      <c r="G60" s="23"/>
      <c r="H60" s="25">
        <v>0</v>
      </c>
      <c r="I60" s="23"/>
      <c r="J60" s="23"/>
      <c r="K60" s="44"/>
      <c r="L60" s="23"/>
      <c r="M60" s="62">
        <v>950.84</v>
      </c>
      <c r="N60" s="23"/>
      <c r="O60" s="23"/>
      <c r="P60" s="44"/>
      <c r="R60" s="12"/>
      <c r="S60" s="12"/>
      <c r="T60" s="12"/>
    </row>
    <row r="61" spans="2:20" s="8" customFormat="1" x14ac:dyDescent="0.25">
      <c r="C61" s="8" t="s">
        <v>40</v>
      </c>
      <c r="E61" s="62"/>
      <c r="F61" s="23"/>
      <c r="G61" s="23"/>
      <c r="H61" s="25">
        <v>0</v>
      </c>
      <c r="I61" s="23"/>
      <c r="J61" s="23"/>
      <c r="K61" s="44"/>
      <c r="L61" s="23"/>
      <c r="M61" s="62">
        <v>0</v>
      </c>
      <c r="N61" s="23"/>
      <c r="O61" s="23"/>
      <c r="P61" s="44"/>
      <c r="R61" s="12"/>
      <c r="S61" s="12"/>
      <c r="T61" s="12"/>
    </row>
    <row r="62" spans="2:20" s="8" customFormat="1" x14ac:dyDescent="0.25">
      <c r="C62" s="8" t="s">
        <v>65</v>
      </c>
      <c r="E62" s="62"/>
      <c r="F62" s="23"/>
      <c r="G62" s="23"/>
      <c r="H62" s="25">
        <v>0</v>
      </c>
      <c r="I62" s="23"/>
      <c r="J62" s="23"/>
      <c r="K62" s="44"/>
      <c r="L62" s="23"/>
      <c r="M62" s="62">
        <v>1575</v>
      </c>
      <c r="N62" s="23"/>
      <c r="O62" s="23"/>
      <c r="P62" s="44"/>
      <c r="R62" s="12"/>
      <c r="S62" s="12"/>
      <c r="T62" s="12"/>
    </row>
    <row r="63" spans="2:20" s="8" customFormat="1" x14ac:dyDescent="0.25">
      <c r="C63" s="8" t="s">
        <v>27</v>
      </c>
      <c r="E63" s="65"/>
      <c r="F63" s="23"/>
      <c r="G63" s="23"/>
      <c r="H63" s="25">
        <v>0</v>
      </c>
      <c r="I63" s="23"/>
      <c r="J63" s="23"/>
      <c r="K63" s="44"/>
      <c r="L63" s="23"/>
      <c r="M63" s="65">
        <v>-240</v>
      </c>
      <c r="N63" s="23"/>
      <c r="O63" s="23"/>
      <c r="P63" s="44"/>
      <c r="R63" s="12"/>
      <c r="S63" s="12"/>
      <c r="T63" s="12"/>
    </row>
    <row r="64" spans="2:20" s="8" customFormat="1" x14ac:dyDescent="0.25">
      <c r="C64" s="8" t="s">
        <v>26</v>
      </c>
      <c r="E64" s="66"/>
      <c r="F64" s="23"/>
      <c r="G64" s="23"/>
      <c r="H64" s="25">
        <v>447</v>
      </c>
      <c r="I64" s="23"/>
      <c r="J64" s="23"/>
      <c r="K64" s="44"/>
      <c r="L64" s="23"/>
      <c r="M64" s="66">
        <v>594.80999999999995</v>
      </c>
      <c r="N64" s="23"/>
      <c r="O64" s="23"/>
      <c r="P64" s="44"/>
      <c r="R64" s="12"/>
      <c r="S64" s="12"/>
      <c r="T64" s="12"/>
    </row>
    <row r="65" spans="1:20" s="8" customFormat="1" x14ac:dyDescent="0.25">
      <c r="C65" s="8" t="s">
        <v>36</v>
      </c>
      <c r="E65" s="66"/>
      <c r="F65" s="23"/>
      <c r="G65" s="23"/>
      <c r="H65" s="25">
        <v>1576</v>
      </c>
      <c r="I65" s="23"/>
      <c r="J65" s="23"/>
      <c r="K65" s="44"/>
      <c r="L65" s="23"/>
      <c r="M65" s="66">
        <v>1412.5</v>
      </c>
      <c r="N65" s="23"/>
      <c r="O65" s="23"/>
      <c r="P65" s="44"/>
      <c r="R65" s="12"/>
      <c r="S65" s="12"/>
      <c r="T65" s="12"/>
    </row>
    <row r="66" spans="1:20" s="8" customFormat="1" x14ac:dyDescent="0.25">
      <c r="C66" s="8" t="s">
        <v>70</v>
      </c>
      <c r="E66" s="75">
        <f>33.28*12</f>
        <v>399.36</v>
      </c>
      <c r="F66" s="23"/>
      <c r="G66" s="23"/>
      <c r="H66" s="25">
        <v>0</v>
      </c>
      <c r="I66" s="23"/>
      <c r="J66" s="23"/>
      <c r="K66" s="44"/>
      <c r="L66" s="23"/>
      <c r="M66" s="66">
        <v>351.22</v>
      </c>
      <c r="N66" s="23"/>
      <c r="O66" s="23"/>
      <c r="P66" s="44"/>
      <c r="R66" s="12"/>
      <c r="S66" s="12"/>
      <c r="T66" s="12"/>
    </row>
    <row r="67" spans="1:20" s="8" customFormat="1" x14ac:dyDescent="0.25">
      <c r="C67" s="8" t="s">
        <v>69</v>
      </c>
      <c r="E67" s="75">
        <v>636</v>
      </c>
      <c r="F67" s="23"/>
      <c r="G67" s="23"/>
      <c r="H67" s="25">
        <v>0</v>
      </c>
      <c r="I67" s="23"/>
      <c r="J67" s="23"/>
      <c r="K67" s="44"/>
      <c r="L67" s="23"/>
      <c r="M67" s="66">
        <v>636</v>
      </c>
      <c r="N67" s="23"/>
      <c r="O67" s="23"/>
      <c r="P67" s="44"/>
      <c r="R67" s="12"/>
      <c r="S67" s="12"/>
      <c r="T67" s="12"/>
    </row>
    <row r="68" spans="1:20" s="8" customFormat="1" x14ac:dyDescent="0.25">
      <c r="C68" s="8" t="s">
        <v>30</v>
      </c>
      <c r="E68" s="67"/>
      <c r="F68" s="23"/>
      <c r="G68" s="23"/>
      <c r="H68" s="26">
        <v>0</v>
      </c>
      <c r="I68" s="23"/>
      <c r="J68" s="23"/>
      <c r="K68" s="44"/>
      <c r="L68" s="23"/>
      <c r="M68" s="67">
        <v>2056.5300000000002</v>
      </c>
      <c r="N68" s="23"/>
      <c r="O68" s="23"/>
      <c r="P68" s="44"/>
      <c r="R68" s="12"/>
      <c r="S68" s="12"/>
      <c r="T68" s="12"/>
    </row>
    <row r="69" spans="1:20" s="8" customFormat="1" x14ac:dyDescent="0.25">
      <c r="E69" s="40"/>
      <c r="F69" s="23"/>
      <c r="G69" s="23"/>
      <c r="H69" s="23"/>
      <c r="I69" s="23"/>
      <c r="J69" s="23"/>
      <c r="K69" s="46"/>
      <c r="L69" s="23"/>
      <c r="M69" s="40"/>
      <c r="N69" s="23"/>
      <c r="O69" s="23"/>
      <c r="P69" s="24"/>
      <c r="R69" s="12"/>
      <c r="S69" s="12"/>
      <c r="T69" s="12"/>
    </row>
    <row r="70" spans="1:20" s="8" customFormat="1" x14ac:dyDescent="0.25">
      <c r="A70" s="4" t="s">
        <v>47</v>
      </c>
      <c r="E70" s="40"/>
      <c r="F70" s="5">
        <f>SUM(E38:E49)-SUM(E50:E69)</f>
        <v>2605.6399999999994</v>
      </c>
      <c r="G70" s="23"/>
      <c r="H70" s="23"/>
      <c r="I70" s="5">
        <f>SUM(H38:H49)-SUM(H51:H69)</f>
        <v>2652</v>
      </c>
      <c r="J70" s="23"/>
      <c r="K70" s="46"/>
      <c r="L70" s="23"/>
      <c r="M70" s="40"/>
      <c r="N70" s="5">
        <f>SUM(M38:M49)-SUM(M51:M69)</f>
        <v>26516.080000000002</v>
      </c>
      <c r="O70" s="23"/>
      <c r="P70" s="5">
        <f>SUM(M38:M49)-SUM(M51:M69)</f>
        <v>26516.080000000002</v>
      </c>
      <c r="R70" s="12"/>
      <c r="S70" s="12"/>
      <c r="T70" s="12"/>
    </row>
    <row r="71" spans="1:20" s="8" customFormat="1" x14ac:dyDescent="0.25">
      <c r="E71" s="40"/>
      <c r="F71" s="23"/>
      <c r="G71" s="23"/>
      <c r="H71" s="23"/>
      <c r="I71" s="23"/>
      <c r="J71" s="23"/>
      <c r="K71" s="24"/>
      <c r="L71" s="23"/>
      <c r="M71" s="40"/>
      <c r="N71" s="23"/>
      <c r="O71" s="23"/>
      <c r="P71" s="24"/>
      <c r="R71" s="12"/>
      <c r="S71" s="12"/>
      <c r="T71" s="12"/>
    </row>
    <row r="72" spans="1:20" s="8" customFormat="1" x14ac:dyDescent="0.25">
      <c r="A72" s="4" t="s">
        <v>46</v>
      </c>
      <c r="E72" s="40"/>
      <c r="F72" s="23"/>
      <c r="G72" s="23"/>
      <c r="H72" s="23"/>
      <c r="I72" s="23"/>
      <c r="J72" s="23"/>
      <c r="K72" s="24"/>
      <c r="L72" s="23"/>
      <c r="M72" s="40"/>
      <c r="N72" s="23"/>
      <c r="O72" s="23"/>
      <c r="P72" s="24"/>
      <c r="R72" s="12"/>
      <c r="S72" s="12"/>
      <c r="T72" s="12"/>
    </row>
    <row r="73" spans="1:20" s="8" customFormat="1" x14ac:dyDescent="0.25">
      <c r="B73" s="4" t="s">
        <v>19</v>
      </c>
      <c r="C73" s="4"/>
      <c r="D73" s="4"/>
      <c r="E73" s="36"/>
      <c r="F73" s="5"/>
      <c r="G73" s="5"/>
      <c r="H73" s="5"/>
      <c r="I73" s="5"/>
      <c r="J73" s="5"/>
      <c r="K73" s="6"/>
      <c r="L73" s="5"/>
      <c r="M73" s="36"/>
      <c r="N73" s="5"/>
      <c r="O73" s="5"/>
      <c r="P73" s="6"/>
      <c r="R73" s="12"/>
      <c r="S73" s="12"/>
      <c r="T73" s="12"/>
    </row>
    <row r="74" spans="1:20" s="8" customFormat="1" x14ac:dyDescent="0.25">
      <c r="C74" s="8" t="s">
        <v>6</v>
      </c>
      <c r="E74" s="37">
        <v>21150</v>
      </c>
      <c r="F74" s="10"/>
      <c r="G74" s="10"/>
      <c r="H74" s="10">
        <v>21150</v>
      </c>
      <c r="I74" s="10"/>
      <c r="J74" s="10"/>
      <c r="K74" s="44">
        <f>+E74-H74</f>
        <v>0</v>
      </c>
      <c r="L74" s="10"/>
      <c r="M74" s="37">
        <v>0</v>
      </c>
      <c r="N74" s="10"/>
      <c r="O74" s="10"/>
      <c r="P74" s="44">
        <f>+E74-M74</f>
        <v>21150</v>
      </c>
      <c r="R74" s="12"/>
      <c r="S74" s="12"/>
      <c r="T74" s="12"/>
    </row>
    <row r="75" spans="1:20" s="8" customFormat="1" x14ac:dyDescent="0.25">
      <c r="C75" s="8" t="s">
        <v>7</v>
      </c>
      <c r="E75" s="39">
        <v>19000</v>
      </c>
      <c r="F75" s="10"/>
      <c r="G75" s="10"/>
      <c r="H75" s="13">
        <f>19000+300</f>
        <v>19300</v>
      </c>
      <c r="I75" s="10"/>
      <c r="J75" s="10"/>
      <c r="K75" s="45">
        <f>-E75+H75</f>
        <v>300</v>
      </c>
      <c r="L75" s="10"/>
      <c r="M75" s="39">
        <v>0</v>
      </c>
      <c r="N75" s="10"/>
      <c r="O75" s="10"/>
      <c r="P75" s="45">
        <f>+M75-E75</f>
        <v>-19000</v>
      </c>
      <c r="R75" s="12"/>
      <c r="S75" s="12"/>
      <c r="T75" s="12"/>
    </row>
    <row r="76" spans="1:20" s="8" customFormat="1" x14ac:dyDescent="0.25">
      <c r="E76" s="37"/>
      <c r="F76" s="10"/>
      <c r="G76" s="10"/>
      <c r="H76" s="10"/>
      <c r="I76" s="10"/>
      <c r="J76" s="10"/>
      <c r="K76" s="11"/>
      <c r="L76" s="10"/>
      <c r="M76" s="37"/>
      <c r="N76" s="10"/>
      <c r="O76" s="10"/>
      <c r="P76" s="11"/>
      <c r="R76" s="12"/>
      <c r="S76" s="12"/>
      <c r="T76" s="12"/>
    </row>
    <row r="77" spans="1:20" s="8" customFormat="1" x14ac:dyDescent="0.25">
      <c r="B77" s="4" t="s">
        <v>13</v>
      </c>
      <c r="C77" s="4"/>
      <c r="D77" s="4"/>
      <c r="E77" s="36"/>
      <c r="F77" s="5">
        <f>+E74-E75</f>
        <v>2150</v>
      </c>
      <c r="G77" s="5"/>
      <c r="H77" s="5"/>
      <c r="I77" s="5">
        <f>+H74-H75</f>
        <v>1850</v>
      </c>
      <c r="J77" s="5"/>
      <c r="K77" s="11">
        <f>SUM(K74:K76)</f>
        <v>300</v>
      </c>
      <c r="L77" s="5"/>
      <c r="M77" s="36"/>
      <c r="N77" s="5">
        <f>+M74-M75</f>
        <v>0</v>
      </c>
      <c r="O77" s="5"/>
      <c r="P77" s="11">
        <f>+F77-N77</f>
        <v>2150</v>
      </c>
      <c r="R77" s="12"/>
      <c r="S77" s="12"/>
      <c r="T77" s="12"/>
    </row>
    <row r="78" spans="1:20" s="8" customFormat="1" x14ac:dyDescent="0.25">
      <c r="B78" s="4"/>
      <c r="C78" s="4"/>
      <c r="D78" s="4"/>
      <c r="E78" s="36"/>
      <c r="F78" s="5"/>
      <c r="G78" s="5"/>
      <c r="H78" s="5"/>
      <c r="I78" s="5"/>
      <c r="J78" s="5"/>
      <c r="K78" s="11"/>
      <c r="L78" s="5"/>
      <c r="M78" s="36"/>
      <c r="N78" s="5"/>
      <c r="O78" s="5"/>
      <c r="P78" s="11"/>
      <c r="R78" s="12"/>
      <c r="S78" s="12"/>
      <c r="T78" s="12"/>
    </row>
    <row r="79" spans="1:20" s="4" customFormat="1" x14ac:dyDescent="0.25">
      <c r="B79" s="4" t="s">
        <v>8</v>
      </c>
      <c r="E79" s="36"/>
      <c r="F79" s="5"/>
      <c r="G79" s="5"/>
      <c r="H79" s="5"/>
      <c r="I79" s="5"/>
      <c r="J79" s="5"/>
      <c r="K79" s="6"/>
      <c r="L79" s="5"/>
      <c r="M79" s="36"/>
      <c r="N79" s="5"/>
      <c r="O79" s="5"/>
      <c r="P79" s="6"/>
      <c r="R79" s="7"/>
      <c r="S79" s="7"/>
      <c r="T79" s="7"/>
    </row>
    <row r="80" spans="1:20" s="8" customFormat="1" x14ac:dyDescent="0.25">
      <c r="C80" s="8" t="s">
        <v>6</v>
      </c>
      <c r="E80" s="37">
        <v>19300</v>
      </c>
      <c r="F80" s="10"/>
      <c r="G80" s="10"/>
      <c r="H80" s="10">
        <v>0</v>
      </c>
      <c r="I80" s="10"/>
      <c r="J80" s="10"/>
      <c r="K80" s="44">
        <f>+E80-H80</f>
        <v>19300</v>
      </c>
      <c r="L80" s="10"/>
      <c r="M80" s="37">
        <v>2480</v>
      </c>
      <c r="N80" s="10"/>
      <c r="O80" s="10"/>
      <c r="P80" s="44">
        <f>+E80-M80</f>
        <v>16820</v>
      </c>
      <c r="R80" s="12"/>
      <c r="S80" s="12"/>
      <c r="T80" s="12"/>
    </row>
    <row r="81" spans="1:20" s="8" customFormat="1" x14ac:dyDescent="0.25">
      <c r="C81" s="8" t="s">
        <v>7</v>
      </c>
      <c r="E81" s="39">
        <v>15905</v>
      </c>
      <c r="F81" s="10"/>
      <c r="G81" s="10"/>
      <c r="H81" s="13">
        <v>0</v>
      </c>
      <c r="I81" s="10"/>
      <c r="J81" s="10"/>
      <c r="K81" s="45">
        <f>-E81+H81</f>
        <v>-15905</v>
      </c>
      <c r="L81" s="10"/>
      <c r="M81" s="39">
        <v>2108</v>
      </c>
      <c r="N81" s="10"/>
      <c r="O81" s="10"/>
      <c r="P81" s="45">
        <f>+M81-E81</f>
        <v>-13797</v>
      </c>
      <c r="R81" s="12"/>
      <c r="S81" s="12"/>
      <c r="T81" s="12"/>
    </row>
    <row r="82" spans="1:20" s="8" customFormat="1" x14ac:dyDescent="0.25">
      <c r="E82" s="37"/>
      <c r="F82" s="10"/>
      <c r="G82" s="10"/>
      <c r="H82" s="10"/>
      <c r="I82" s="10"/>
      <c r="J82" s="10"/>
      <c r="K82" s="11"/>
      <c r="L82" s="10"/>
      <c r="M82" s="37"/>
      <c r="N82" s="10"/>
      <c r="O82" s="10"/>
      <c r="P82" s="11"/>
      <c r="R82" s="12"/>
      <c r="S82" s="12"/>
      <c r="T82" s="12"/>
    </row>
    <row r="83" spans="1:20" s="4" customFormat="1" x14ac:dyDescent="0.25">
      <c r="B83" s="4" t="s">
        <v>9</v>
      </c>
      <c r="E83" s="36"/>
      <c r="F83" s="5">
        <f>+E80-E81</f>
        <v>3395</v>
      </c>
      <c r="G83" s="5"/>
      <c r="H83" s="5"/>
      <c r="I83" s="5">
        <f>+H80-H81</f>
        <v>0</v>
      </c>
      <c r="J83" s="5"/>
      <c r="K83" s="11">
        <f>SUM(K80:K82)</f>
        <v>3395</v>
      </c>
      <c r="L83" s="5"/>
      <c r="M83" s="36"/>
      <c r="N83" s="5">
        <f>+M80-M81</f>
        <v>372</v>
      </c>
      <c r="O83" s="5"/>
      <c r="P83" s="11">
        <f>+F83-N83</f>
        <v>3023</v>
      </c>
      <c r="R83" s="7"/>
      <c r="S83" s="7"/>
      <c r="T83" s="7"/>
    </row>
    <row r="84" spans="1:20" s="8" customFormat="1" x14ac:dyDescent="0.25">
      <c r="E84" s="37"/>
      <c r="F84" s="10"/>
      <c r="G84" s="10"/>
      <c r="H84" s="10"/>
      <c r="I84" s="10"/>
      <c r="J84" s="10"/>
      <c r="K84" s="11"/>
      <c r="L84" s="10"/>
      <c r="M84" s="37"/>
      <c r="N84" s="10"/>
      <c r="O84" s="10"/>
      <c r="P84" s="11"/>
      <c r="R84" s="12"/>
      <c r="S84" s="12"/>
      <c r="T84" s="12"/>
    </row>
    <row r="85" spans="1:20" s="4" customFormat="1" x14ac:dyDescent="0.25">
      <c r="B85" s="4" t="s">
        <v>17</v>
      </c>
      <c r="E85" s="36">
        <v>4000</v>
      </c>
      <c r="F85" s="5"/>
      <c r="G85" s="5"/>
      <c r="H85" s="5"/>
      <c r="I85" s="5"/>
      <c r="J85" s="5"/>
      <c r="K85" s="6"/>
      <c r="L85" s="5"/>
      <c r="M85" s="36"/>
      <c r="N85" s="5"/>
      <c r="O85" s="5"/>
      <c r="P85" s="6"/>
      <c r="R85" s="7"/>
      <c r="S85" s="7"/>
      <c r="T85" s="7"/>
    </row>
    <row r="86" spans="1:20" s="8" customFormat="1" x14ac:dyDescent="0.25">
      <c r="C86" s="8" t="s">
        <v>63</v>
      </c>
      <c r="E86" s="37">
        <v>2125</v>
      </c>
      <c r="F86" s="10"/>
      <c r="G86" s="10"/>
      <c r="H86" s="10">
        <f>5350/2+1375</f>
        <v>4050</v>
      </c>
      <c r="I86" s="10"/>
      <c r="J86" s="10"/>
      <c r="K86" s="44">
        <f>+E86-H86</f>
        <v>-1925</v>
      </c>
      <c r="L86" s="10"/>
      <c r="M86" s="37">
        <v>2775</v>
      </c>
      <c r="N86" s="10"/>
      <c r="O86" s="10"/>
      <c r="P86" s="44">
        <f>+E86-M86</f>
        <v>-650</v>
      </c>
      <c r="R86" s="12"/>
      <c r="S86" s="12"/>
      <c r="T86" s="12"/>
    </row>
    <row r="87" spans="1:20" s="8" customFormat="1" x14ac:dyDescent="0.25">
      <c r="C87" s="8" t="s">
        <v>64</v>
      </c>
      <c r="E87" s="37">
        <v>1000</v>
      </c>
      <c r="F87" s="10"/>
      <c r="G87" s="10"/>
      <c r="H87" s="10">
        <v>0</v>
      </c>
      <c r="I87" s="10"/>
      <c r="J87" s="10"/>
      <c r="K87" s="44">
        <f>+E87-H87</f>
        <v>1000</v>
      </c>
      <c r="L87" s="10"/>
      <c r="M87" s="37">
        <v>600</v>
      </c>
      <c r="N87" s="10"/>
      <c r="O87" s="10"/>
      <c r="P87" s="44">
        <f>+E87-M87</f>
        <v>400</v>
      </c>
      <c r="R87" s="12"/>
      <c r="S87" s="12"/>
      <c r="T87" s="12"/>
    </row>
    <row r="88" spans="1:20" s="8" customFormat="1" x14ac:dyDescent="0.25">
      <c r="C88" s="8" t="s">
        <v>7</v>
      </c>
      <c r="E88" s="39">
        <f>555+2500+200+200+3057</f>
        <v>6512</v>
      </c>
      <c r="F88" s="10"/>
      <c r="G88" s="10"/>
      <c r="H88" s="13">
        <f>310*3+100</f>
        <v>1030</v>
      </c>
      <c r="I88" s="10"/>
      <c r="J88" s="10"/>
      <c r="K88" s="45">
        <f>-E88+H88</f>
        <v>-5482</v>
      </c>
      <c r="L88" s="10"/>
      <c r="M88" s="39">
        <f>44.36+574.65+79.12</f>
        <v>698.13</v>
      </c>
      <c r="N88" s="10"/>
      <c r="O88" s="10"/>
      <c r="P88" s="45">
        <f>+M88-E88</f>
        <v>-5813.87</v>
      </c>
      <c r="R88" s="12"/>
      <c r="S88" s="12"/>
      <c r="T88" s="12"/>
    </row>
    <row r="89" spans="1:20" s="8" customFormat="1" x14ac:dyDescent="0.25">
      <c r="E89" s="37"/>
      <c r="F89" s="10"/>
      <c r="G89" s="10"/>
      <c r="H89" s="10"/>
      <c r="I89" s="10"/>
      <c r="J89" s="10"/>
      <c r="K89" s="11"/>
      <c r="L89" s="10"/>
      <c r="M89" s="37"/>
      <c r="N89" s="10"/>
      <c r="O89" s="10"/>
      <c r="P89" s="11"/>
      <c r="R89" s="12"/>
      <c r="S89" s="12"/>
      <c r="T89" s="12"/>
    </row>
    <row r="90" spans="1:20" s="4" customFormat="1" x14ac:dyDescent="0.25">
      <c r="B90" s="4" t="s">
        <v>9</v>
      </c>
      <c r="E90" s="36"/>
      <c r="F90" s="27">
        <f>SUM(E85:E87)-E88</f>
        <v>613</v>
      </c>
      <c r="G90" s="5"/>
      <c r="H90" s="5"/>
      <c r="I90" s="27">
        <f>SUM(H86:H87)-H88</f>
        <v>3020</v>
      </c>
      <c r="J90" s="5"/>
      <c r="K90" s="14">
        <f>SUM(K86:K89)</f>
        <v>-6407</v>
      </c>
      <c r="L90" s="5"/>
      <c r="M90" s="36"/>
      <c r="N90" s="27">
        <f>SUM(M86:M87)-M88</f>
        <v>2676.87</v>
      </c>
      <c r="O90" s="5"/>
      <c r="P90" s="14">
        <f>+F90-N90</f>
        <v>-2063.87</v>
      </c>
      <c r="R90" s="7"/>
      <c r="S90" s="7"/>
      <c r="T90" s="7"/>
    </row>
    <row r="91" spans="1:20" s="8" customFormat="1" x14ac:dyDescent="0.25">
      <c r="E91" s="37"/>
      <c r="F91" s="10"/>
      <c r="G91" s="10"/>
      <c r="H91" s="10"/>
      <c r="I91" s="10"/>
      <c r="J91" s="10"/>
      <c r="K91" s="11"/>
      <c r="L91" s="10"/>
      <c r="M91" s="37"/>
      <c r="N91" s="10"/>
      <c r="O91" s="10"/>
      <c r="P91" s="11"/>
      <c r="R91" s="12"/>
      <c r="S91" s="12"/>
      <c r="T91" s="12"/>
    </row>
    <row r="92" spans="1:20" s="4" customFormat="1" ht="15.75" thickBot="1" x14ac:dyDescent="0.3">
      <c r="A92" s="4" t="s">
        <v>57</v>
      </c>
      <c r="E92" s="36"/>
      <c r="F92" s="28">
        <f>SUM(F34:F91)</f>
        <v>-16092.36</v>
      </c>
      <c r="G92" s="15"/>
      <c r="H92" s="15"/>
      <c r="I92" s="28">
        <f>SUM(I34:I91)-1</f>
        <v>326</v>
      </c>
      <c r="J92" s="15"/>
      <c r="K92" s="29">
        <f>+F92-I92</f>
        <v>-16418.36</v>
      </c>
      <c r="L92" s="15"/>
      <c r="M92" s="36"/>
      <c r="N92" s="28">
        <f>SUM(N34:N91)</f>
        <v>29564.95</v>
      </c>
      <c r="O92" s="15"/>
      <c r="P92" s="29">
        <f>+F92-N92</f>
        <v>-45657.31</v>
      </c>
      <c r="R92" s="7"/>
      <c r="S92" s="7"/>
      <c r="T92" s="7"/>
    </row>
    <row r="93" spans="1:20" s="8" customFormat="1" ht="15.75" thickTop="1" x14ac:dyDescent="0.25">
      <c r="E93" s="37"/>
      <c r="F93" s="10"/>
      <c r="G93" s="10"/>
      <c r="H93" s="10"/>
      <c r="I93" s="10"/>
      <c r="J93" s="10"/>
      <c r="K93" s="11"/>
      <c r="L93" s="10"/>
      <c r="M93" s="37"/>
      <c r="N93" s="10"/>
      <c r="O93" s="10"/>
      <c r="P93" s="11"/>
      <c r="R93" s="12"/>
      <c r="S93" s="12"/>
      <c r="T93" s="12"/>
    </row>
    <row r="94" spans="1:20" s="8" customFormat="1" x14ac:dyDescent="0.25">
      <c r="E94" s="44" t="s">
        <v>79</v>
      </c>
      <c r="F94" s="11">
        <v>-2461</v>
      </c>
      <c r="G94" s="11"/>
      <c r="H94" s="11" t="s">
        <v>55</v>
      </c>
      <c r="I94" s="11">
        <v>326</v>
      </c>
      <c r="J94" s="10"/>
      <c r="K94" s="11"/>
      <c r="L94" s="10"/>
      <c r="M94" s="44" t="s">
        <v>43</v>
      </c>
      <c r="N94" s="11">
        <v>29565.21</v>
      </c>
      <c r="O94" s="10"/>
      <c r="P94" s="11"/>
      <c r="R94" s="12"/>
      <c r="S94" s="12"/>
      <c r="T94" s="12"/>
    </row>
    <row r="95" spans="1:20" s="8" customFormat="1" x14ac:dyDescent="0.25">
      <c r="E95" s="44"/>
      <c r="F95" s="11"/>
      <c r="G95" s="11"/>
      <c r="H95" s="11"/>
      <c r="I95" s="11"/>
      <c r="J95" s="10"/>
      <c r="K95" s="11"/>
      <c r="L95" s="10"/>
      <c r="M95" s="44"/>
      <c r="N95" s="11"/>
      <c r="O95" s="10"/>
      <c r="P95" s="11"/>
      <c r="R95" s="12"/>
      <c r="S95" s="12"/>
      <c r="T95" s="12"/>
    </row>
    <row r="96" spans="1:20" s="8" customFormat="1" x14ac:dyDescent="0.25">
      <c r="E96" s="68"/>
      <c r="F96" s="11">
        <f>+F92-F94</f>
        <v>-13631.36</v>
      </c>
      <c r="G96" s="11"/>
      <c r="H96" s="11" t="s">
        <v>56</v>
      </c>
      <c r="I96" s="11">
        <f>+I92-I94</f>
        <v>0</v>
      </c>
      <c r="J96" s="10"/>
      <c r="K96" s="11"/>
      <c r="L96" s="10"/>
      <c r="M96" s="68"/>
      <c r="N96" s="11">
        <f>+N92-N94</f>
        <v>-0.25999999999839929</v>
      </c>
      <c r="O96" s="10"/>
      <c r="P96" s="11"/>
      <c r="R96" s="12"/>
      <c r="S96" s="12"/>
      <c r="T96" s="12"/>
    </row>
    <row r="99" spans="3:16" s="33" customFormat="1" ht="12" x14ac:dyDescent="0.2">
      <c r="D99" s="33" t="s">
        <v>81</v>
      </c>
      <c r="E99" s="71">
        <f>+E10+E11+E38+E74+E80+E85+E86+E87</f>
        <v>83014</v>
      </c>
      <c r="F99" s="32"/>
      <c r="G99" s="32"/>
      <c r="H99" s="32"/>
      <c r="I99" s="32"/>
      <c r="J99" s="32"/>
      <c r="K99" s="32"/>
      <c r="L99" s="32"/>
      <c r="M99" s="71"/>
      <c r="N99" s="32"/>
      <c r="O99" s="32"/>
      <c r="P99" s="32"/>
    </row>
    <row r="100" spans="3:16" s="33" customFormat="1" ht="12" x14ac:dyDescent="0.2">
      <c r="E100" s="71"/>
      <c r="F100" s="32"/>
      <c r="G100" s="32"/>
      <c r="H100" s="32"/>
      <c r="I100" s="32"/>
      <c r="J100" s="32"/>
      <c r="K100" s="32"/>
      <c r="L100" s="32"/>
      <c r="M100" s="71"/>
      <c r="N100" s="32"/>
      <c r="O100" s="32"/>
      <c r="P100" s="32"/>
    </row>
    <row r="101" spans="3:16" s="33" customFormat="1" ht="12" x14ac:dyDescent="0.2">
      <c r="D101" s="33" t="s">
        <v>79</v>
      </c>
      <c r="E101" s="72">
        <v>87414</v>
      </c>
      <c r="F101" s="32"/>
      <c r="G101" s="32"/>
      <c r="H101" s="32"/>
      <c r="I101" s="32"/>
      <c r="J101" s="32"/>
      <c r="K101" s="32"/>
      <c r="L101" s="32"/>
      <c r="M101" s="71"/>
      <c r="N101" s="32"/>
      <c r="O101" s="32"/>
      <c r="P101" s="32"/>
    </row>
    <row r="102" spans="3:16" s="33" customFormat="1" ht="12" x14ac:dyDescent="0.2">
      <c r="E102" s="71"/>
      <c r="F102" s="32"/>
      <c r="G102" s="32"/>
      <c r="H102" s="32"/>
      <c r="I102" s="32"/>
      <c r="J102" s="32"/>
      <c r="K102" s="32"/>
      <c r="L102" s="32"/>
      <c r="M102" s="71"/>
      <c r="N102" s="32"/>
      <c r="O102" s="32"/>
      <c r="P102" s="32"/>
    </row>
    <row r="103" spans="3:16" s="33" customFormat="1" ht="12" x14ac:dyDescent="0.2">
      <c r="D103" s="33" t="s">
        <v>2</v>
      </c>
      <c r="E103" s="71">
        <f>+E99-E101</f>
        <v>-4400</v>
      </c>
      <c r="F103" s="32"/>
      <c r="G103" s="32"/>
      <c r="H103" s="32"/>
      <c r="I103" s="32"/>
      <c r="J103" s="32"/>
      <c r="K103" s="32"/>
      <c r="L103" s="32"/>
      <c r="M103" s="71"/>
      <c r="N103" s="32"/>
      <c r="O103" s="32"/>
      <c r="P103" s="32"/>
    </row>
    <row r="104" spans="3:16" s="33" customFormat="1" ht="12" x14ac:dyDescent="0.2">
      <c r="E104" s="71"/>
      <c r="F104" s="32"/>
      <c r="G104" s="32"/>
      <c r="H104" s="32"/>
      <c r="I104" s="32"/>
      <c r="J104" s="32"/>
      <c r="K104" s="32"/>
      <c r="L104" s="32"/>
      <c r="M104" s="71"/>
      <c r="N104" s="32"/>
      <c r="O104" s="32"/>
      <c r="P104" s="32"/>
    </row>
    <row r="105" spans="3:16" s="33" customFormat="1" ht="12" x14ac:dyDescent="0.2">
      <c r="D105" s="33" t="s">
        <v>82</v>
      </c>
      <c r="E105" s="71">
        <f>SUM(E18:E31,E50,E75,E81,E88)</f>
        <v>98071</v>
      </c>
      <c r="F105" s="32"/>
      <c r="G105" s="32"/>
      <c r="H105" s="32"/>
      <c r="I105" s="32"/>
      <c r="J105" s="32"/>
      <c r="K105" s="32"/>
      <c r="L105" s="32"/>
      <c r="M105" s="71"/>
      <c r="N105" s="32"/>
      <c r="O105" s="32"/>
      <c r="P105" s="32"/>
    </row>
    <row r="106" spans="3:16" s="33" customFormat="1" ht="12" x14ac:dyDescent="0.2">
      <c r="E106" s="71"/>
      <c r="F106" s="32"/>
      <c r="G106" s="32"/>
      <c r="H106" s="32"/>
      <c r="I106" s="32"/>
      <c r="J106" s="32"/>
      <c r="K106" s="32"/>
      <c r="L106" s="32"/>
      <c r="M106" s="71"/>
      <c r="N106" s="32"/>
      <c r="O106" s="32"/>
      <c r="P106" s="32"/>
    </row>
    <row r="107" spans="3:16" s="33" customFormat="1" ht="12" x14ac:dyDescent="0.2">
      <c r="D107" s="33" t="s">
        <v>79</v>
      </c>
      <c r="E107" s="72">
        <v>89875</v>
      </c>
      <c r="F107" s="32"/>
      <c r="G107" s="32"/>
      <c r="H107" s="32"/>
      <c r="I107" s="32"/>
      <c r="J107" s="32"/>
      <c r="K107" s="32"/>
      <c r="L107" s="32"/>
      <c r="M107" s="71"/>
      <c r="N107" s="32"/>
      <c r="O107" s="32"/>
      <c r="P107" s="32"/>
    </row>
    <row r="108" spans="3:16" s="33" customFormat="1" ht="12" x14ac:dyDescent="0.2">
      <c r="E108" s="71"/>
      <c r="F108" s="32"/>
      <c r="G108" s="32"/>
      <c r="H108" s="32"/>
      <c r="I108" s="32"/>
      <c r="J108" s="32"/>
      <c r="K108" s="32"/>
      <c r="L108" s="32"/>
      <c r="M108" s="71"/>
      <c r="N108" s="32"/>
      <c r="O108" s="32"/>
      <c r="P108" s="32"/>
    </row>
    <row r="109" spans="3:16" s="33" customFormat="1" ht="12" x14ac:dyDescent="0.2">
      <c r="D109" s="33" t="s">
        <v>2</v>
      </c>
      <c r="E109" s="71">
        <f>+E105-E107</f>
        <v>8196</v>
      </c>
      <c r="F109" s="32"/>
      <c r="G109" s="32"/>
      <c r="H109" s="32"/>
      <c r="I109" s="32"/>
      <c r="J109" s="32"/>
      <c r="K109" s="32"/>
      <c r="L109" s="32"/>
      <c r="M109" s="71"/>
      <c r="N109" s="32"/>
      <c r="O109" s="32"/>
      <c r="P109" s="32"/>
    </row>
    <row r="111" spans="3:16" x14ac:dyDescent="0.25">
      <c r="E111" s="71"/>
    </row>
    <row r="112" spans="3:16" x14ac:dyDescent="0.25">
      <c r="C112" s="30" t="s">
        <v>83</v>
      </c>
    </row>
  </sheetData>
  <mergeCells count="4">
    <mergeCell ref="E7:F7"/>
    <mergeCell ref="H7:I7"/>
    <mergeCell ref="M7:N7"/>
    <mergeCell ref="H6:I6"/>
  </mergeCells>
  <printOptions horizontalCentered="1"/>
  <pageMargins left="0.7" right="0.7" top="0.75" bottom="0.75" header="0.3" footer="0.3"/>
  <pageSetup scale="89" fitToHeight="0" orientation="landscape" r:id="rId1"/>
  <rowBreaks count="2" manualBreakCount="2">
    <brk id="36" max="18" man="1"/>
    <brk id="66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E11E-1D4E-4488-B12D-5CA500070547}">
  <sheetPr>
    <outlinePr summaryBelow="0" summaryRight="0"/>
  </sheetPr>
  <dimension ref="A1:AN149"/>
  <sheetViews>
    <sheetView workbookViewId="0">
      <pane xSplit="2" ySplit="3" topLeftCell="E32" activePane="bottomRight" state="frozen"/>
      <selection pane="topRight" activeCell="C1" sqref="C1"/>
      <selection pane="bottomLeft" activeCell="A4" sqref="A4"/>
      <selection pane="bottomRight" activeCell="H30" sqref="H30"/>
    </sheetView>
  </sheetViews>
  <sheetFormatPr defaultColWidth="12.5703125" defaultRowHeight="15.75" customHeight="1" outlineLevelRow="1" outlineLevelCol="1" x14ac:dyDescent="0.2"/>
  <cols>
    <col min="1" max="2" width="25" style="89" customWidth="1"/>
    <col min="3" max="4" width="7.140625" style="89" hidden="1" customWidth="1"/>
    <col min="5" max="6" width="7.5703125" style="89" bestFit="1" customWidth="1"/>
    <col min="7" max="7" width="8.28515625" style="89" customWidth="1"/>
    <col min="8" max="8" width="7.140625" style="89" customWidth="1"/>
    <col min="9" max="10" width="7.140625" style="89" hidden="1" customWidth="1"/>
    <col min="11" max="11" width="7.140625" style="89" customWidth="1"/>
    <col min="12" max="12" width="7.42578125" style="89" customWidth="1"/>
    <col min="13" max="13" width="8.42578125" style="89" customWidth="1" outlineLevel="1"/>
    <col min="14" max="14" width="8.42578125" style="122" customWidth="1"/>
    <col min="15" max="15" width="7.140625" style="89" hidden="1" customWidth="1"/>
    <col min="16" max="17" width="12.5703125" style="89"/>
    <col min="18" max="22" width="3.42578125" style="89" hidden="1" customWidth="1"/>
    <col min="23" max="23" width="11.5703125" style="89" hidden="1" customWidth="1"/>
    <col min="24" max="24" width="40.7109375" style="89" hidden="1" customWidth="1"/>
    <col min="25" max="25" width="6.28515625" style="89" hidden="1" customWidth="1"/>
    <col min="26" max="26" width="20.7109375" style="89" hidden="1" customWidth="1"/>
    <col min="27" max="16384" width="12.5703125" style="89"/>
  </cols>
  <sheetData>
    <row r="1" spans="1:40" ht="25.5" x14ac:dyDescent="0.2">
      <c r="A1" s="76" t="s">
        <v>84</v>
      </c>
      <c r="B1" s="77"/>
      <c r="C1" s="78" t="s">
        <v>6</v>
      </c>
      <c r="D1" s="79"/>
      <c r="E1" s="79"/>
      <c r="F1" s="79"/>
      <c r="G1" s="79"/>
      <c r="H1" s="80"/>
      <c r="I1" s="78" t="s">
        <v>35</v>
      </c>
      <c r="J1" s="79"/>
      <c r="K1" s="79"/>
      <c r="L1" s="79"/>
      <c r="M1" s="79"/>
      <c r="N1" s="79"/>
      <c r="O1" s="80"/>
      <c r="P1" s="81" t="s">
        <v>13</v>
      </c>
      <c r="Q1" s="81" t="s">
        <v>85</v>
      </c>
      <c r="R1" s="82" t="s">
        <v>86</v>
      </c>
      <c r="S1" s="82" t="s">
        <v>87</v>
      </c>
      <c r="T1" s="82" t="s">
        <v>88</v>
      </c>
      <c r="U1" s="82" t="s">
        <v>89</v>
      </c>
      <c r="V1" s="83" t="s">
        <v>90</v>
      </c>
      <c r="W1" s="84" t="s">
        <v>91</v>
      </c>
      <c r="X1" s="85" t="s">
        <v>92</v>
      </c>
      <c r="Y1" s="86" t="s">
        <v>93</v>
      </c>
      <c r="Z1" s="87"/>
      <c r="AA1" s="148" t="s">
        <v>236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</row>
    <row r="2" spans="1:40" ht="12.75" x14ac:dyDescent="0.2">
      <c r="A2" s="90" t="s">
        <v>94</v>
      </c>
      <c r="B2" s="91" t="s">
        <v>95</v>
      </c>
      <c r="C2" s="92" t="s">
        <v>21</v>
      </c>
      <c r="D2" s="87"/>
      <c r="E2" s="92" t="s">
        <v>61</v>
      </c>
      <c r="F2" s="87"/>
      <c r="G2" s="92">
        <v>2022</v>
      </c>
      <c r="H2" s="93"/>
      <c r="I2" s="92" t="s">
        <v>21</v>
      </c>
      <c r="J2" s="87"/>
      <c r="K2" s="92" t="s">
        <v>61</v>
      </c>
      <c r="L2" s="87"/>
      <c r="M2" s="94">
        <v>2022</v>
      </c>
      <c r="N2" s="87"/>
      <c r="O2" s="93"/>
      <c r="P2" s="81"/>
      <c r="Q2" s="81"/>
      <c r="R2" s="87"/>
      <c r="S2" s="87"/>
      <c r="T2" s="87"/>
      <c r="U2" s="87"/>
      <c r="V2" s="87"/>
      <c r="W2" s="87"/>
      <c r="X2" s="87"/>
      <c r="Y2" s="95" t="s">
        <v>96</v>
      </c>
      <c r="Z2" s="87"/>
      <c r="AA2" s="144" t="s">
        <v>237</v>
      </c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</row>
    <row r="3" spans="1:40" ht="27" x14ac:dyDescent="0.2">
      <c r="A3" s="90" t="s">
        <v>97</v>
      </c>
      <c r="B3" s="77"/>
      <c r="C3" s="96" t="s">
        <v>78</v>
      </c>
      <c r="D3" s="96" t="s">
        <v>98</v>
      </c>
      <c r="E3" s="96" t="s">
        <v>78</v>
      </c>
      <c r="F3" s="96" t="s">
        <v>98</v>
      </c>
      <c r="G3" s="96" t="s">
        <v>78</v>
      </c>
      <c r="H3" s="96" t="s">
        <v>98</v>
      </c>
      <c r="I3" s="96" t="s">
        <v>78</v>
      </c>
      <c r="J3" s="96" t="s">
        <v>98</v>
      </c>
      <c r="K3" s="97" t="s">
        <v>78</v>
      </c>
      <c r="L3" s="96" t="s">
        <v>98</v>
      </c>
      <c r="M3" s="98" t="s">
        <v>99</v>
      </c>
      <c r="N3" s="99" t="s">
        <v>78</v>
      </c>
      <c r="O3" s="100" t="s">
        <v>98</v>
      </c>
      <c r="P3" s="81"/>
      <c r="Q3" s="81"/>
      <c r="R3" s="87"/>
      <c r="S3" s="87"/>
      <c r="T3" s="87"/>
      <c r="U3" s="87"/>
      <c r="V3" s="87"/>
      <c r="W3" s="87"/>
      <c r="X3" s="87"/>
      <c r="Y3" s="88" t="s">
        <v>100</v>
      </c>
      <c r="Z3" s="88" t="s">
        <v>101</v>
      </c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</row>
    <row r="4" spans="1:40" ht="12.75" x14ac:dyDescent="0.2">
      <c r="A4" s="101" t="s">
        <v>102</v>
      </c>
      <c r="B4" s="102"/>
      <c r="C4" s="103"/>
      <c r="D4" s="103"/>
      <c r="E4" s="104"/>
      <c r="F4" s="104"/>
      <c r="G4" s="104"/>
      <c r="H4" s="105"/>
      <c r="I4" s="104"/>
      <c r="J4" s="104"/>
      <c r="K4" s="104"/>
      <c r="L4" s="104"/>
      <c r="M4" s="104"/>
      <c r="N4" s="106"/>
      <c r="O4" s="105"/>
      <c r="P4" s="104"/>
      <c r="Q4" s="104"/>
      <c r="R4" s="107"/>
      <c r="S4" s="107"/>
      <c r="T4" s="107"/>
      <c r="U4" s="107"/>
      <c r="V4" s="107"/>
      <c r="W4" s="107"/>
      <c r="X4" s="108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12.75" x14ac:dyDescent="0.2">
      <c r="A5" s="109"/>
      <c r="B5" s="110" t="s">
        <v>103</v>
      </c>
      <c r="C5" s="104">
        <v>5000</v>
      </c>
      <c r="D5" s="104"/>
      <c r="E5" s="104">
        <v>2500</v>
      </c>
      <c r="F5" s="104">
        <v>2500</v>
      </c>
      <c r="G5" s="104">
        <v>4000</v>
      </c>
      <c r="H5" s="105"/>
      <c r="I5" s="104"/>
      <c r="J5" s="104"/>
      <c r="K5" s="104"/>
      <c r="L5" s="104"/>
      <c r="M5" s="111"/>
      <c r="N5" s="106"/>
      <c r="O5" s="105"/>
      <c r="P5" s="104"/>
      <c r="Q5" s="104"/>
      <c r="R5" s="112"/>
      <c r="S5" s="112"/>
      <c r="T5" s="112"/>
      <c r="U5" s="112" t="s">
        <v>104</v>
      </c>
      <c r="V5" s="112"/>
      <c r="W5" s="112" t="s">
        <v>105</v>
      </c>
      <c r="X5" s="113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2.75" x14ac:dyDescent="0.2">
      <c r="A6" s="109"/>
      <c r="B6" s="110" t="s">
        <v>106</v>
      </c>
      <c r="C6" s="104"/>
      <c r="D6" s="104"/>
      <c r="E6" s="104"/>
      <c r="F6" s="104"/>
      <c r="G6" s="104"/>
      <c r="H6" s="105"/>
      <c r="I6" s="104"/>
      <c r="J6" s="104"/>
      <c r="K6" s="104"/>
      <c r="L6" s="104"/>
      <c r="M6" s="111"/>
      <c r="N6" s="106"/>
      <c r="O6" s="105"/>
      <c r="P6" s="104"/>
      <c r="Q6" s="104"/>
      <c r="R6" s="112"/>
      <c r="S6" s="112"/>
      <c r="T6" s="112"/>
      <c r="U6" s="112"/>
      <c r="V6" s="112"/>
      <c r="W6" s="112" t="s">
        <v>105</v>
      </c>
      <c r="X6" s="113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</row>
    <row r="7" spans="1:40" ht="12.75" x14ac:dyDescent="0.2">
      <c r="A7" s="109"/>
      <c r="B7" s="110" t="s">
        <v>107</v>
      </c>
      <c r="C7" s="104">
        <v>2500</v>
      </c>
      <c r="D7" s="104"/>
      <c r="E7" s="104">
        <v>2000</v>
      </c>
      <c r="F7" s="104"/>
      <c r="G7" s="104">
        <v>2000</v>
      </c>
      <c r="H7" s="105"/>
      <c r="I7" s="104"/>
      <c r="J7" s="104"/>
      <c r="K7" s="104"/>
      <c r="L7" s="104"/>
      <c r="M7" s="111"/>
      <c r="N7" s="106"/>
      <c r="O7" s="105"/>
      <c r="P7" s="104"/>
      <c r="Q7" s="104"/>
      <c r="R7" s="112"/>
      <c r="S7" s="112"/>
      <c r="T7" s="112"/>
      <c r="U7" s="112" t="s">
        <v>104</v>
      </c>
      <c r="V7" s="112"/>
      <c r="W7" s="112" t="s">
        <v>108</v>
      </c>
      <c r="X7" s="113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</row>
    <row r="8" spans="1:40" ht="12.75" x14ac:dyDescent="0.2">
      <c r="A8" s="109"/>
      <c r="B8" s="110" t="s">
        <v>109</v>
      </c>
      <c r="C8" s="104"/>
      <c r="D8" s="104"/>
      <c r="E8" s="104"/>
      <c r="F8" s="104"/>
      <c r="G8" s="104">
        <v>1000</v>
      </c>
      <c r="H8" s="105"/>
      <c r="I8" s="104"/>
      <c r="J8" s="104"/>
      <c r="K8" s="104"/>
      <c r="L8" s="104"/>
      <c r="M8" s="111"/>
      <c r="N8" s="106"/>
      <c r="O8" s="105"/>
      <c r="P8" s="104"/>
      <c r="Q8" s="104"/>
      <c r="R8" s="112"/>
      <c r="S8" s="112"/>
      <c r="T8" s="112"/>
      <c r="U8" s="112" t="s">
        <v>104</v>
      </c>
      <c r="V8" s="112"/>
      <c r="W8" s="112" t="s">
        <v>108</v>
      </c>
      <c r="X8" s="113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</row>
    <row r="9" spans="1:40" ht="12.75" x14ac:dyDescent="0.2">
      <c r="A9" s="109"/>
      <c r="B9" s="110" t="s">
        <v>110</v>
      </c>
      <c r="C9" s="104">
        <v>2000</v>
      </c>
      <c r="D9" s="104"/>
      <c r="E9" s="104">
        <v>2000</v>
      </c>
      <c r="F9" s="104">
        <v>2000</v>
      </c>
      <c r="G9" s="104">
        <v>2000</v>
      </c>
      <c r="H9" s="105"/>
      <c r="I9" s="104"/>
      <c r="J9" s="104"/>
      <c r="K9" s="104"/>
      <c r="L9" s="104"/>
      <c r="M9" s="111"/>
      <c r="N9" s="106"/>
      <c r="O9" s="105"/>
      <c r="P9" s="104"/>
      <c r="Q9" s="104"/>
      <c r="R9" s="112"/>
      <c r="S9" s="112"/>
      <c r="T9" s="112"/>
      <c r="U9" s="112" t="s">
        <v>104</v>
      </c>
      <c r="V9" s="112"/>
      <c r="W9" s="112" t="s">
        <v>108</v>
      </c>
      <c r="X9" s="113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</row>
    <row r="10" spans="1:40" ht="12.75" x14ac:dyDescent="0.2">
      <c r="A10" s="109"/>
      <c r="B10" s="110" t="s">
        <v>111</v>
      </c>
      <c r="C10" s="104"/>
      <c r="D10" s="104"/>
      <c r="E10" s="104"/>
      <c r="F10" s="104"/>
      <c r="G10" s="104">
        <v>400</v>
      </c>
      <c r="H10" s="105"/>
      <c r="I10" s="104"/>
      <c r="J10" s="104"/>
      <c r="K10" s="104"/>
      <c r="L10" s="104"/>
      <c r="M10" s="111"/>
      <c r="N10" s="106"/>
      <c r="O10" s="105"/>
      <c r="P10" s="104"/>
      <c r="Q10" s="104"/>
      <c r="R10" s="112" t="s">
        <v>112</v>
      </c>
      <c r="S10" s="112"/>
      <c r="T10" s="112" t="s">
        <v>108</v>
      </c>
      <c r="U10" s="112" t="s">
        <v>104</v>
      </c>
      <c r="V10" s="112"/>
      <c r="W10" s="112"/>
      <c r="X10" s="113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</row>
    <row r="11" spans="1:40" ht="12.75" x14ac:dyDescent="0.2">
      <c r="A11" s="109" t="s">
        <v>113</v>
      </c>
      <c r="B11" s="110" t="s">
        <v>24</v>
      </c>
      <c r="C11" s="104"/>
      <c r="D11" s="104"/>
      <c r="E11" s="104"/>
      <c r="F11" s="104"/>
      <c r="G11" s="104">
        <f>11.95*16*30*1.14*VLOOKUP(A11, '[1]GrantProgram Status Lookup'!A2:B5, 2, FALSE)</f>
        <v>6539.0399999999991</v>
      </c>
      <c r="H11" s="105"/>
      <c r="I11" s="104"/>
      <c r="J11" s="104"/>
      <c r="K11" s="104"/>
      <c r="L11" s="104"/>
      <c r="M11" s="111"/>
      <c r="N11" s="106">
        <f>G11*18.5/11.95</f>
        <v>10123.199999999999</v>
      </c>
      <c r="O11" s="105"/>
      <c r="P11" s="104"/>
      <c r="Q11" s="104"/>
      <c r="R11" s="112"/>
      <c r="S11" s="112"/>
      <c r="T11" s="112"/>
      <c r="U11" s="112"/>
      <c r="V11" s="112"/>
      <c r="W11" s="112"/>
      <c r="X11" s="113"/>
      <c r="Y11" s="109"/>
      <c r="Z11" s="109"/>
      <c r="AA11" s="130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</row>
    <row r="12" spans="1:40" ht="12.75" x14ac:dyDescent="0.2">
      <c r="A12" s="109"/>
      <c r="B12" s="110" t="s">
        <v>114</v>
      </c>
      <c r="C12" s="104"/>
      <c r="D12" s="104"/>
      <c r="E12" s="104"/>
      <c r="F12" s="104"/>
      <c r="G12" s="104"/>
      <c r="H12" s="105"/>
      <c r="I12" s="104"/>
      <c r="J12" s="104"/>
      <c r="K12" s="104"/>
      <c r="L12" s="104"/>
      <c r="M12" s="111"/>
      <c r="N12" s="106"/>
      <c r="O12" s="105"/>
      <c r="P12" s="104"/>
      <c r="Q12" s="104"/>
      <c r="R12" s="112"/>
      <c r="S12" s="112"/>
      <c r="T12" s="112"/>
      <c r="U12" s="112" t="s">
        <v>115</v>
      </c>
      <c r="V12" s="112"/>
      <c r="W12" s="112"/>
      <c r="X12" s="113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</row>
    <row r="13" spans="1:40" ht="12.75" x14ac:dyDescent="0.2">
      <c r="A13" s="109"/>
      <c r="B13" s="110" t="s">
        <v>116</v>
      </c>
      <c r="C13" s="104"/>
      <c r="D13" s="104"/>
      <c r="E13" s="104"/>
      <c r="F13" s="104"/>
      <c r="G13" s="104"/>
      <c r="H13" s="105"/>
      <c r="I13" s="104"/>
      <c r="J13" s="104"/>
      <c r="K13" s="104"/>
      <c r="L13" s="104"/>
      <c r="M13" s="111"/>
      <c r="N13" s="106"/>
      <c r="O13" s="105"/>
      <c r="P13" s="104"/>
      <c r="Q13" s="104"/>
      <c r="R13" s="112"/>
      <c r="S13" s="112"/>
      <c r="T13" s="112"/>
      <c r="U13" s="112" t="s">
        <v>104</v>
      </c>
      <c r="V13" s="112"/>
      <c r="W13" s="112"/>
      <c r="X13" s="113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</row>
    <row r="14" spans="1:40" ht="12.75" x14ac:dyDescent="0.2">
      <c r="A14" s="109"/>
      <c r="B14" s="110" t="s">
        <v>117</v>
      </c>
      <c r="C14" s="104"/>
      <c r="D14" s="104"/>
      <c r="E14" s="104">
        <v>1000</v>
      </c>
      <c r="F14" s="104">
        <v>0</v>
      </c>
      <c r="G14" s="104">
        <v>1000</v>
      </c>
      <c r="H14" s="105"/>
      <c r="I14" s="104"/>
      <c r="J14" s="104"/>
      <c r="K14" s="104"/>
      <c r="L14" s="104"/>
      <c r="M14" s="111"/>
      <c r="N14" s="106">
        <v>0</v>
      </c>
      <c r="O14" s="105"/>
      <c r="P14" s="104"/>
      <c r="Q14" s="104"/>
      <c r="R14" s="112" t="s">
        <v>118</v>
      </c>
      <c r="S14" s="112"/>
      <c r="T14" s="112"/>
      <c r="U14" s="112" t="s">
        <v>115</v>
      </c>
      <c r="V14" s="112"/>
      <c r="W14" s="112"/>
      <c r="X14" s="113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</row>
    <row r="15" spans="1:40" ht="12.75" x14ac:dyDescent="0.2">
      <c r="A15" s="109"/>
      <c r="B15" s="110" t="s">
        <v>119</v>
      </c>
      <c r="C15" s="104"/>
      <c r="D15" s="104"/>
      <c r="E15" s="104"/>
      <c r="F15" s="104"/>
      <c r="G15" s="104">
        <v>500</v>
      </c>
      <c r="H15" s="105"/>
      <c r="I15" s="104"/>
      <c r="J15" s="104"/>
      <c r="K15" s="104"/>
      <c r="L15" s="104"/>
      <c r="M15" s="111"/>
      <c r="N15" s="106">
        <v>3675</v>
      </c>
      <c r="O15" s="105"/>
      <c r="P15" s="104"/>
      <c r="Q15" s="104"/>
      <c r="R15" s="112"/>
      <c r="S15" s="112"/>
      <c r="T15" s="112"/>
      <c r="U15" s="112" t="s">
        <v>104</v>
      </c>
      <c r="V15" s="112"/>
      <c r="W15" s="112" t="s">
        <v>108</v>
      </c>
      <c r="X15" s="113" t="s">
        <v>120</v>
      </c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</row>
    <row r="16" spans="1:40" ht="12.75" x14ac:dyDescent="0.2">
      <c r="A16" s="109"/>
      <c r="B16" s="110" t="s">
        <v>121</v>
      </c>
      <c r="C16" s="104"/>
      <c r="D16" s="104"/>
      <c r="E16" s="104"/>
      <c r="F16" s="104"/>
      <c r="G16" s="104"/>
      <c r="H16" s="105"/>
      <c r="I16" s="104"/>
      <c r="J16" s="104"/>
      <c r="K16" s="104"/>
      <c r="L16" s="104"/>
      <c r="M16" s="111"/>
      <c r="N16" s="106"/>
      <c r="O16" s="105"/>
      <c r="P16" s="104"/>
      <c r="Q16" s="104"/>
      <c r="R16" s="112"/>
      <c r="S16" s="112"/>
      <c r="T16" s="112"/>
      <c r="U16" s="112" t="s">
        <v>122</v>
      </c>
      <c r="V16" s="112"/>
      <c r="W16" s="112"/>
      <c r="X16" s="113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</row>
    <row r="17" spans="1:40" ht="12.75" x14ac:dyDescent="0.2">
      <c r="A17" s="109"/>
      <c r="B17" s="115"/>
      <c r="C17" s="116">
        <f t="shared" ref="C17:L17" si="0">SUM(C5:C16)</f>
        <v>9500</v>
      </c>
      <c r="D17" s="116">
        <f t="shared" si="0"/>
        <v>0</v>
      </c>
      <c r="E17" s="116">
        <f t="shared" si="0"/>
        <v>7500</v>
      </c>
      <c r="F17" s="116">
        <f t="shared" si="0"/>
        <v>4500</v>
      </c>
      <c r="G17" s="117">
        <f t="shared" si="0"/>
        <v>17439.04</v>
      </c>
      <c r="H17" s="118">
        <f t="shared" si="0"/>
        <v>0</v>
      </c>
      <c r="I17" s="116">
        <f t="shared" si="0"/>
        <v>0</v>
      </c>
      <c r="J17" s="116">
        <f t="shared" si="0"/>
        <v>0</v>
      </c>
      <c r="K17" s="116">
        <f t="shared" si="0"/>
        <v>0</v>
      </c>
      <c r="L17" s="116">
        <f t="shared" si="0"/>
        <v>0</v>
      </c>
      <c r="M17" s="119"/>
      <c r="N17" s="120">
        <f t="shared" ref="N17:O17" si="1">SUM(N5:N16)</f>
        <v>13798.199999999999</v>
      </c>
      <c r="O17" s="118">
        <f t="shared" si="1"/>
        <v>0</v>
      </c>
      <c r="P17" s="179">
        <f>G17-N17</f>
        <v>3640.840000000002</v>
      </c>
      <c r="Q17" s="104"/>
      <c r="R17" s="112"/>
      <c r="S17" s="112"/>
      <c r="T17" s="112"/>
      <c r="U17" s="112"/>
      <c r="V17" s="112"/>
      <c r="W17" s="112"/>
      <c r="X17" s="113"/>
      <c r="Y17" s="109"/>
      <c r="Z17" s="109"/>
      <c r="AA17" s="109" t="s">
        <v>123</v>
      </c>
      <c r="AB17" s="109"/>
      <c r="AC17" s="114" t="s">
        <v>124</v>
      </c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</row>
    <row r="18" spans="1:40" ht="12.75" x14ac:dyDescent="0.2">
      <c r="A18" s="101" t="s">
        <v>125</v>
      </c>
      <c r="B18" s="102"/>
      <c r="C18" s="103"/>
      <c r="D18" s="103"/>
      <c r="E18" s="104"/>
      <c r="F18" s="104"/>
      <c r="G18" s="104"/>
      <c r="H18" s="105"/>
      <c r="I18" s="104"/>
      <c r="J18" s="104"/>
      <c r="K18" s="104"/>
      <c r="L18" s="104"/>
      <c r="M18" s="104"/>
      <c r="N18" s="106"/>
      <c r="O18" s="105"/>
      <c r="P18" s="104"/>
      <c r="Q18" s="104"/>
      <c r="R18" s="107"/>
      <c r="S18" s="107"/>
      <c r="T18" s="107"/>
      <c r="U18" s="107"/>
      <c r="V18" s="107"/>
      <c r="W18" s="107"/>
      <c r="X18" s="108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</row>
    <row r="19" spans="1:40" ht="12.75" outlineLevel="1" x14ac:dyDescent="0.2">
      <c r="A19" s="109"/>
      <c r="B19" s="121" t="s">
        <v>126</v>
      </c>
      <c r="C19" s="104"/>
      <c r="D19" s="104"/>
      <c r="E19" s="104"/>
      <c r="F19" s="104"/>
      <c r="G19" s="104"/>
      <c r="H19" s="105"/>
      <c r="I19" s="104"/>
      <c r="J19" s="104"/>
      <c r="K19" s="104"/>
      <c r="L19" s="104"/>
      <c r="M19" s="111">
        <v>18642</v>
      </c>
      <c r="O19" s="105"/>
      <c r="P19" s="104"/>
      <c r="Q19" s="104"/>
      <c r="R19" s="112"/>
      <c r="S19" s="112"/>
      <c r="T19" s="112"/>
      <c r="U19" s="112" t="s">
        <v>115</v>
      </c>
      <c r="V19" s="123" t="s">
        <v>108</v>
      </c>
      <c r="W19" s="112" t="s">
        <v>115</v>
      </c>
      <c r="X19" s="113" t="s">
        <v>127</v>
      </c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</row>
    <row r="20" spans="1:40" ht="12.75" outlineLevel="1" x14ac:dyDescent="0.2">
      <c r="A20" s="109"/>
      <c r="B20" s="121" t="s">
        <v>128</v>
      </c>
      <c r="C20" s="104"/>
      <c r="D20" s="104"/>
      <c r="E20" s="104"/>
      <c r="F20" s="104"/>
      <c r="G20" s="104"/>
      <c r="H20" s="105"/>
      <c r="I20" s="104"/>
      <c r="J20" s="104"/>
      <c r="K20" s="124"/>
      <c r="L20" s="104"/>
      <c r="M20" s="111">
        <f>M19*0.086</f>
        <v>1603.2119999999998</v>
      </c>
      <c r="O20" s="105"/>
      <c r="P20" s="104"/>
      <c r="Q20" s="104"/>
      <c r="R20" s="112"/>
      <c r="S20" s="112"/>
      <c r="T20" s="112"/>
      <c r="U20" s="112"/>
      <c r="V20" s="112"/>
      <c r="W20" s="112"/>
      <c r="X20" s="113" t="s">
        <v>129</v>
      </c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</row>
    <row r="21" spans="1:40" ht="12.75" outlineLevel="1" x14ac:dyDescent="0.2">
      <c r="A21" s="109"/>
      <c r="B21" s="125" t="s">
        <v>130</v>
      </c>
      <c r="C21" s="104"/>
      <c r="D21" s="104"/>
      <c r="E21" s="104"/>
      <c r="F21" s="104"/>
      <c r="G21" s="104"/>
      <c r="H21" s="105"/>
      <c r="I21" s="104"/>
      <c r="J21" s="104"/>
      <c r="K21" s="104">
        <v>400</v>
      </c>
      <c r="L21" s="104"/>
      <c r="M21" s="126">
        <v>400</v>
      </c>
      <c r="O21" s="105"/>
      <c r="P21" s="104"/>
      <c r="Q21" s="104"/>
      <c r="R21" s="112" t="s">
        <v>131</v>
      </c>
      <c r="S21" s="112"/>
      <c r="T21" s="112" t="s">
        <v>108</v>
      </c>
      <c r="U21" s="112" t="s">
        <v>132</v>
      </c>
      <c r="V21" s="112"/>
      <c r="W21" s="112"/>
      <c r="X21" s="113"/>
      <c r="Y21" s="109"/>
      <c r="Z21" s="109"/>
      <c r="AA21" s="109" t="s">
        <v>133</v>
      </c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</row>
    <row r="22" spans="1:40" ht="12.75" outlineLevel="1" x14ac:dyDescent="0.2">
      <c r="A22" s="109"/>
      <c r="B22" s="121" t="s">
        <v>134</v>
      </c>
      <c r="C22" s="104"/>
      <c r="D22" s="104"/>
      <c r="E22" s="104"/>
      <c r="F22" s="104"/>
      <c r="G22" s="104"/>
      <c r="H22" s="105"/>
      <c r="I22" s="104"/>
      <c r="J22" s="104"/>
      <c r="K22" s="104"/>
      <c r="L22" s="104"/>
      <c r="M22" s="111">
        <v>800</v>
      </c>
      <c r="O22" s="105"/>
      <c r="P22" s="104"/>
      <c r="Q22" s="104"/>
      <c r="R22" s="112"/>
      <c r="S22" s="112"/>
      <c r="T22" s="112"/>
      <c r="U22" s="112"/>
      <c r="V22" s="112"/>
      <c r="W22" s="112"/>
      <c r="X22" s="113" t="s">
        <v>135</v>
      </c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</row>
    <row r="23" spans="1:40" ht="12.75" collapsed="1" x14ac:dyDescent="0.2">
      <c r="A23" s="109"/>
      <c r="B23" s="115" t="s">
        <v>136</v>
      </c>
      <c r="C23" s="104"/>
      <c r="D23" s="104"/>
      <c r="E23" s="104"/>
      <c r="F23" s="104"/>
      <c r="G23" s="104"/>
      <c r="H23" s="105"/>
      <c r="I23" s="104"/>
      <c r="J23" s="104"/>
      <c r="K23" s="104"/>
      <c r="L23" s="104"/>
      <c r="M23" s="111"/>
      <c r="N23" s="127">
        <f>SUM(M19:M22)</f>
        <v>21445.212</v>
      </c>
      <c r="O23" s="105"/>
      <c r="P23" s="104"/>
      <c r="Q23" s="104"/>
      <c r="R23" s="112"/>
      <c r="S23" s="112"/>
      <c r="T23" s="112"/>
      <c r="U23" s="112"/>
      <c r="V23" s="112"/>
      <c r="W23" s="112"/>
      <c r="X23" s="113"/>
      <c r="Y23" s="109"/>
      <c r="Z23" s="109"/>
      <c r="AA23" s="109" t="s">
        <v>137</v>
      </c>
      <c r="AB23" s="109"/>
      <c r="AC23" s="109"/>
      <c r="AD23" s="104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</row>
    <row r="24" spans="1:40" ht="12.75" hidden="1" outlineLevel="1" x14ac:dyDescent="0.2">
      <c r="A24" s="109"/>
      <c r="B24" s="121" t="s">
        <v>138</v>
      </c>
      <c r="C24" s="104"/>
      <c r="D24" s="104"/>
      <c r="E24" s="104"/>
      <c r="F24" s="104"/>
      <c r="G24" s="104"/>
      <c r="H24" s="105"/>
      <c r="I24" s="104"/>
      <c r="J24" s="104"/>
      <c r="K24" s="104">
        <v>209</v>
      </c>
      <c r="L24" s="104">
        <v>209</v>
      </c>
      <c r="M24" s="111">
        <v>209</v>
      </c>
      <c r="O24" s="105"/>
      <c r="P24" s="104"/>
      <c r="Q24" s="104"/>
      <c r="R24" s="112"/>
      <c r="S24" s="112"/>
      <c r="T24" s="112"/>
      <c r="U24" s="112" t="s">
        <v>132</v>
      </c>
      <c r="V24" s="112"/>
      <c r="W24" s="112"/>
      <c r="X24" s="113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</row>
    <row r="25" spans="1:40" ht="12.75" hidden="1" outlineLevel="1" x14ac:dyDescent="0.2">
      <c r="A25" s="109"/>
      <c r="B25" s="121" t="s">
        <v>139</v>
      </c>
      <c r="C25" s="104"/>
      <c r="D25" s="104"/>
      <c r="E25" s="104"/>
      <c r="F25" s="104"/>
      <c r="G25" s="104"/>
      <c r="H25" s="105"/>
      <c r="I25" s="104"/>
      <c r="J25" s="104"/>
      <c r="K25" s="104">
        <v>336</v>
      </c>
      <c r="L25" s="104">
        <v>336</v>
      </c>
      <c r="M25" s="111">
        <v>336</v>
      </c>
      <c r="O25" s="105"/>
      <c r="P25" s="104"/>
      <c r="Q25" s="104"/>
      <c r="R25" s="112"/>
      <c r="S25" s="112"/>
      <c r="T25" s="112"/>
      <c r="U25" s="112" t="s">
        <v>132</v>
      </c>
      <c r="V25" s="112"/>
      <c r="W25" s="112"/>
      <c r="X25" s="113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</row>
    <row r="26" spans="1:40" ht="12.75" hidden="1" outlineLevel="1" x14ac:dyDescent="0.2">
      <c r="A26" s="109"/>
      <c r="B26" s="121" t="s">
        <v>140</v>
      </c>
      <c r="C26" s="104"/>
      <c r="D26" s="104"/>
      <c r="E26" s="104"/>
      <c r="F26" s="104"/>
      <c r="G26" s="104"/>
      <c r="H26" s="105"/>
      <c r="I26" s="104"/>
      <c r="J26" s="104"/>
      <c r="K26" s="104">
        <v>0</v>
      </c>
      <c r="L26" s="104"/>
      <c r="M26" s="111">
        <v>240</v>
      </c>
      <c r="O26" s="105"/>
      <c r="P26" s="104"/>
      <c r="Q26" s="104"/>
      <c r="R26" s="112"/>
      <c r="S26" s="112"/>
      <c r="T26" s="112"/>
      <c r="U26" s="112" t="s">
        <v>132</v>
      </c>
      <c r="V26" s="112"/>
      <c r="W26" s="112"/>
      <c r="X26" s="113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</row>
    <row r="27" spans="1:40" ht="12.75" hidden="1" outlineLevel="1" x14ac:dyDescent="0.2">
      <c r="A27" s="109"/>
      <c r="B27" s="125" t="s">
        <v>141</v>
      </c>
      <c r="C27" s="104"/>
      <c r="D27" s="104"/>
      <c r="E27" s="104"/>
      <c r="F27" s="104"/>
      <c r="G27" s="104"/>
      <c r="H27" s="105"/>
      <c r="I27" s="104"/>
      <c r="J27" s="104"/>
      <c r="K27" s="104"/>
      <c r="L27" s="104"/>
      <c r="M27" s="111">
        <v>0</v>
      </c>
      <c r="O27" s="105"/>
      <c r="P27" s="104"/>
      <c r="Q27" s="104"/>
      <c r="R27" s="112"/>
      <c r="S27" s="112"/>
      <c r="T27" s="112"/>
      <c r="U27" s="112"/>
      <c r="V27" s="112"/>
      <c r="W27" s="112"/>
      <c r="X27" s="113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</row>
    <row r="28" spans="1:40" ht="12.75" hidden="1" outlineLevel="1" x14ac:dyDescent="0.2">
      <c r="A28" s="109"/>
      <c r="B28" s="121" t="s">
        <v>142</v>
      </c>
      <c r="C28" s="104"/>
      <c r="D28" s="104"/>
      <c r="E28" s="104"/>
      <c r="F28" s="104"/>
      <c r="G28" s="104"/>
      <c r="H28" s="105"/>
      <c r="I28" s="104"/>
      <c r="J28" s="104"/>
      <c r="K28" s="104">
        <v>240</v>
      </c>
      <c r="L28" s="104">
        <v>269</v>
      </c>
      <c r="M28" s="111">
        <f>12*22.4</f>
        <v>268.79999999999995</v>
      </c>
      <c r="O28" s="105"/>
      <c r="P28" s="104"/>
      <c r="Q28" s="104"/>
      <c r="R28" s="112"/>
      <c r="S28" s="112"/>
      <c r="T28" s="112"/>
      <c r="U28" s="112" t="s">
        <v>132</v>
      </c>
      <c r="V28" s="112"/>
      <c r="W28" s="112"/>
      <c r="X28" s="113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</row>
    <row r="29" spans="1:40" ht="12.75" x14ac:dyDescent="0.2">
      <c r="A29" s="109"/>
      <c r="B29" s="115" t="s">
        <v>143</v>
      </c>
      <c r="C29" s="104"/>
      <c r="D29" s="104"/>
      <c r="E29" s="104"/>
      <c r="F29" s="104"/>
      <c r="G29" s="104"/>
      <c r="H29" s="105"/>
      <c r="I29" s="104"/>
      <c r="J29" s="104"/>
      <c r="K29" s="104"/>
      <c r="L29" s="104"/>
      <c r="M29" s="111"/>
      <c r="N29" s="128">
        <f>SUM(M24:M28)</f>
        <v>1053.8</v>
      </c>
      <c r="O29" s="105"/>
      <c r="P29" s="104"/>
      <c r="Q29" s="104"/>
      <c r="R29" s="112"/>
      <c r="S29" s="112"/>
      <c r="T29" s="112"/>
      <c r="U29" s="112"/>
      <c r="V29" s="112"/>
      <c r="W29" s="112"/>
      <c r="X29" s="113"/>
      <c r="Y29" s="109"/>
      <c r="Z29" s="109"/>
      <c r="AA29" s="109" t="s">
        <v>144</v>
      </c>
      <c r="AB29" s="109"/>
      <c r="AC29" s="109"/>
      <c r="AD29" s="104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</row>
    <row r="30" spans="1:40" ht="12.75" x14ac:dyDescent="0.2">
      <c r="A30" s="109"/>
      <c r="B30" s="129" t="s">
        <v>18</v>
      </c>
      <c r="C30" s="104"/>
      <c r="D30" s="104"/>
      <c r="E30" s="104"/>
      <c r="F30" s="104"/>
      <c r="G30" s="104"/>
      <c r="H30" s="105"/>
      <c r="I30" s="104"/>
      <c r="J30" s="104"/>
      <c r="K30" s="104">
        <v>0</v>
      </c>
      <c r="L30" s="104"/>
      <c r="M30" s="111"/>
      <c r="N30" s="127">
        <v>1200</v>
      </c>
      <c r="O30" s="105"/>
      <c r="P30" s="104"/>
      <c r="Q30" s="104"/>
      <c r="R30" s="112" t="s">
        <v>145</v>
      </c>
      <c r="S30" s="112"/>
      <c r="T30" s="112"/>
      <c r="U30" s="112" t="s">
        <v>146</v>
      </c>
      <c r="V30" s="112"/>
      <c r="W30" s="112"/>
      <c r="X30" s="113"/>
      <c r="Y30" s="109"/>
      <c r="Z30" s="109"/>
      <c r="AA30" s="130" t="s">
        <v>147</v>
      </c>
      <c r="AB30" s="109"/>
      <c r="AC30" s="109"/>
      <c r="AD30" s="104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</row>
    <row r="31" spans="1:40" ht="12.75" x14ac:dyDescent="0.2">
      <c r="A31" s="109"/>
      <c r="B31" s="110" t="s">
        <v>148</v>
      </c>
      <c r="C31" s="104"/>
      <c r="D31" s="104"/>
      <c r="E31" s="104"/>
      <c r="F31" s="104"/>
      <c r="G31" s="104"/>
      <c r="H31" s="105"/>
      <c r="I31" s="104"/>
      <c r="J31" s="104"/>
      <c r="K31" s="104">
        <v>300</v>
      </c>
      <c r="L31" s="104"/>
      <c r="M31" s="111"/>
      <c r="N31" s="127">
        <v>300</v>
      </c>
      <c r="O31" s="105"/>
      <c r="P31" s="104"/>
      <c r="Q31" s="104"/>
      <c r="R31" s="112"/>
      <c r="S31" s="112"/>
      <c r="T31" s="112"/>
      <c r="U31" s="112" t="s">
        <v>146</v>
      </c>
      <c r="V31" s="112"/>
      <c r="W31" s="112"/>
      <c r="X31" s="113"/>
      <c r="Y31" s="109"/>
      <c r="Z31" s="109"/>
      <c r="AA31" s="109" t="s">
        <v>149</v>
      </c>
      <c r="AB31" s="109"/>
      <c r="AC31" s="109"/>
      <c r="AD31" s="104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</row>
    <row r="32" spans="1:40" ht="12.75" x14ac:dyDescent="0.2">
      <c r="A32" s="109"/>
      <c r="B32" s="115" t="s">
        <v>150</v>
      </c>
      <c r="C32" s="104"/>
      <c r="D32" s="104"/>
      <c r="E32" s="104"/>
      <c r="F32" s="104"/>
      <c r="G32" s="104"/>
      <c r="H32" s="105"/>
      <c r="I32" s="104"/>
      <c r="J32" s="104"/>
      <c r="K32" s="104">
        <v>1856</v>
      </c>
      <c r="L32" s="104"/>
      <c r="M32" s="111"/>
      <c r="N32" s="106"/>
      <c r="O32" s="105"/>
      <c r="P32" s="104"/>
      <c r="Q32" s="104"/>
      <c r="R32" s="112"/>
      <c r="S32" s="112"/>
      <c r="T32" s="112"/>
      <c r="U32" s="112" t="s">
        <v>115</v>
      </c>
      <c r="V32" s="112"/>
      <c r="W32" s="112"/>
      <c r="X32" s="113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</row>
    <row r="33" spans="1:40" ht="12.75" x14ac:dyDescent="0.2">
      <c r="A33" s="109"/>
      <c r="B33" s="115" t="s">
        <v>151</v>
      </c>
      <c r="C33" s="104"/>
      <c r="D33" s="104"/>
      <c r="E33" s="104"/>
      <c r="F33" s="104"/>
      <c r="G33" s="104"/>
      <c r="H33" s="105"/>
      <c r="I33" s="104">
        <v>0</v>
      </c>
      <c r="J33" s="104"/>
      <c r="K33" s="104">
        <v>0</v>
      </c>
      <c r="L33" s="104"/>
      <c r="M33" s="111"/>
      <c r="N33" s="106">
        <v>0</v>
      </c>
      <c r="O33" s="105"/>
      <c r="P33" s="104"/>
      <c r="Q33" s="104"/>
      <c r="R33" s="112" t="s">
        <v>152</v>
      </c>
      <c r="S33" s="112"/>
      <c r="T33" s="112"/>
      <c r="U33" s="112" t="s">
        <v>146</v>
      </c>
      <c r="V33" s="112"/>
      <c r="W33" s="112"/>
      <c r="X33" s="113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</row>
    <row r="34" spans="1:40" ht="12.75" x14ac:dyDescent="0.2">
      <c r="A34" s="109"/>
      <c r="B34" s="115" t="s">
        <v>153</v>
      </c>
      <c r="C34" s="104"/>
      <c r="D34" s="104"/>
      <c r="E34" s="104"/>
      <c r="F34" s="104"/>
      <c r="G34" s="104"/>
      <c r="H34" s="105"/>
      <c r="I34" s="104"/>
      <c r="J34" s="104"/>
      <c r="K34" s="104">
        <v>180</v>
      </c>
      <c r="L34" s="104">
        <v>271</v>
      </c>
      <c r="M34" s="111"/>
      <c r="N34" s="127">
        <f>(4*16.95 + 156) * 1.21</f>
        <v>270.798</v>
      </c>
      <c r="O34" s="105"/>
      <c r="P34" s="104"/>
      <c r="Q34" s="104"/>
      <c r="R34" s="112"/>
      <c r="S34" s="112"/>
      <c r="T34" s="112"/>
      <c r="U34" s="112" t="s">
        <v>132</v>
      </c>
      <c r="V34" s="112"/>
      <c r="W34" s="112"/>
      <c r="X34" s="113"/>
      <c r="Y34" s="109"/>
      <c r="Z34" s="109"/>
      <c r="AA34" s="109" t="s">
        <v>149</v>
      </c>
      <c r="AB34" s="109"/>
      <c r="AC34" s="109"/>
      <c r="AD34" s="104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</row>
    <row r="35" spans="1:40" ht="12.75" x14ac:dyDescent="0.2">
      <c r="A35" s="109"/>
      <c r="B35" s="115" t="s">
        <v>154</v>
      </c>
      <c r="C35" s="104"/>
      <c r="D35" s="104"/>
      <c r="E35" s="104"/>
      <c r="F35" s="104"/>
      <c r="G35" s="104"/>
      <c r="H35" s="105"/>
      <c r="I35" s="104"/>
      <c r="J35" s="104"/>
      <c r="K35" s="104">
        <v>450</v>
      </c>
      <c r="L35" s="104">
        <v>600</v>
      </c>
      <c r="M35" s="111"/>
      <c r="N35" s="127">
        <v>600</v>
      </c>
      <c r="O35" s="105"/>
      <c r="P35" s="104"/>
      <c r="Q35" s="104"/>
      <c r="R35" s="112"/>
      <c r="S35" s="112"/>
      <c r="T35" s="112"/>
      <c r="U35" s="112"/>
      <c r="V35" s="112"/>
      <c r="W35" s="112"/>
      <c r="X35" s="113"/>
      <c r="Y35" s="109"/>
      <c r="Z35" s="109"/>
      <c r="AA35" s="109" t="s">
        <v>149</v>
      </c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</row>
    <row r="36" spans="1:40" ht="12.75" x14ac:dyDescent="0.2">
      <c r="A36" s="109"/>
      <c r="B36" s="115"/>
      <c r="C36" s="104"/>
      <c r="D36" s="104"/>
      <c r="E36" s="104"/>
      <c r="F36" s="104"/>
      <c r="G36" s="104"/>
      <c r="H36" s="105"/>
      <c r="I36" s="104"/>
      <c r="J36" s="104"/>
      <c r="K36" s="104"/>
      <c r="L36" s="104"/>
      <c r="M36" s="111"/>
      <c r="N36" s="106"/>
      <c r="O36" s="105"/>
      <c r="P36" s="104"/>
      <c r="Q36" s="104"/>
      <c r="R36" s="112"/>
      <c r="S36" s="112"/>
      <c r="T36" s="112"/>
      <c r="U36" s="112"/>
      <c r="V36" s="112"/>
      <c r="W36" s="112"/>
      <c r="X36" s="113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</row>
    <row r="37" spans="1:40" ht="12.75" x14ac:dyDescent="0.2">
      <c r="A37" s="109"/>
      <c r="B37" s="110" t="s">
        <v>155</v>
      </c>
      <c r="C37" s="104"/>
      <c r="D37" s="104"/>
      <c r="E37" s="104"/>
      <c r="F37" s="104"/>
      <c r="G37" s="104"/>
      <c r="H37" s="105"/>
      <c r="I37" s="104"/>
      <c r="J37" s="104"/>
      <c r="K37" s="104">
        <v>500</v>
      </c>
      <c r="L37" s="104"/>
      <c r="M37" s="131"/>
      <c r="N37" s="132">
        <v>0</v>
      </c>
      <c r="O37" s="133"/>
      <c r="P37" s="134"/>
      <c r="Q37" s="134"/>
      <c r="R37" s="134" t="s">
        <v>156</v>
      </c>
      <c r="S37" s="134"/>
      <c r="T37" s="134"/>
      <c r="U37" s="112" t="s">
        <v>132</v>
      </c>
      <c r="V37" s="112"/>
      <c r="W37" s="112"/>
      <c r="X37" s="113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</row>
    <row r="38" spans="1:40" ht="12.75" x14ac:dyDescent="0.2">
      <c r="A38" s="109"/>
      <c r="B38" s="110" t="s">
        <v>157</v>
      </c>
      <c r="C38" s="135"/>
      <c r="D38" s="135"/>
      <c r="E38" s="104"/>
      <c r="F38" s="104"/>
      <c r="G38" s="104"/>
      <c r="H38" s="105"/>
      <c r="I38" s="104"/>
      <c r="J38" s="104"/>
      <c r="K38" s="104"/>
      <c r="L38" s="104"/>
      <c r="M38" s="131"/>
      <c r="N38" s="136">
        <v>476</v>
      </c>
      <c r="O38" s="133"/>
      <c r="P38" s="134"/>
      <c r="Q38" s="134"/>
      <c r="R38" s="134"/>
      <c r="S38" s="134"/>
      <c r="T38" s="134"/>
      <c r="U38" s="112"/>
      <c r="V38" s="112"/>
      <c r="W38" s="112"/>
      <c r="X38" s="113"/>
      <c r="Y38" s="109"/>
      <c r="Z38" s="109"/>
      <c r="AA38" s="109" t="s">
        <v>149</v>
      </c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</row>
    <row r="39" spans="1:40" ht="12.75" outlineLevel="1" x14ac:dyDescent="0.2">
      <c r="A39" s="109"/>
      <c r="B39" s="125" t="s">
        <v>158</v>
      </c>
      <c r="C39" s="104"/>
      <c r="D39" s="104"/>
      <c r="E39" s="104"/>
      <c r="F39" s="104"/>
      <c r="G39" s="104"/>
      <c r="H39" s="105"/>
      <c r="I39" s="104"/>
      <c r="J39" s="104"/>
      <c r="K39" s="104">
        <v>150</v>
      </c>
      <c r="L39" s="104"/>
      <c r="M39" s="111">
        <v>150</v>
      </c>
      <c r="O39" s="105"/>
      <c r="P39" s="104"/>
      <c r="Q39" s="104"/>
      <c r="R39" s="112"/>
      <c r="S39" s="112"/>
      <c r="T39" s="112"/>
      <c r="U39" s="112" t="s">
        <v>132</v>
      </c>
      <c r="V39" s="112"/>
      <c r="W39" s="112"/>
      <c r="X39" s="113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</row>
    <row r="40" spans="1:40" ht="12.75" outlineLevel="1" x14ac:dyDescent="0.2">
      <c r="A40" s="109"/>
      <c r="B40" s="125" t="s">
        <v>159</v>
      </c>
      <c r="C40" s="104"/>
      <c r="D40" s="104"/>
      <c r="E40" s="104"/>
      <c r="F40" s="104"/>
      <c r="G40" s="104"/>
      <c r="H40" s="105"/>
      <c r="I40" s="104"/>
      <c r="J40" s="104"/>
      <c r="K40" s="104">
        <v>50</v>
      </c>
      <c r="L40" s="104"/>
      <c r="M40" s="111">
        <v>50</v>
      </c>
      <c r="O40" s="105"/>
      <c r="P40" s="104"/>
      <c r="Q40" s="104"/>
      <c r="R40" s="112"/>
      <c r="S40" s="112"/>
      <c r="T40" s="112"/>
      <c r="U40" s="112"/>
      <c r="V40" s="112"/>
      <c r="W40" s="112"/>
      <c r="X40" s="113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</row>
    <row r="41" spans="1:40" ht="12.75" outlineLevel="1" x14ac:dyDescent="0.2">
      <c r="A41" s="109"/>
      <c r="B41" s="125" t="s">
        <v>160</v>
      </c>
      <c r="C41" s="104"/>
      <c r="D41" s="104"/>
      <c r="E41" s="104"/>
      <c r="F41" s="104"/>
      <c r="G41" s="104"/>
      <c r="H41" s="105"/>
      <c r="I41" s="104"/>
      <c r="J41" s="104"/>
      <c r="K41" s="104">
        <v>0</v>
      </c>
      <c r="L41" s="104"/>
      <c r="M41" s="111">
        <v>0</v>
      </c>
      <c r="O41" s="105"/>
      <c r="P41" s="104"/>
      <c r="Q41" s="104"/>
      <c r="R41" s="112"/>
      <c r="S41" s="112"/>
      <c r="T41" s="112"/>
      <c r="U41" s="112"/>
      <c r="V41" s="112"/>
      <c r="W41" s="112"/>
      <c r="X41" s="113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</row>
    <row r="42" spans="1:40" ht="12.75" outlineLevel="1" x14ac:dyDescent="0.2">
      <c r="A42" s="109"/>
      <c r="B42" s="125" t="s">
        <v>161</v>
      </c>
      <c r="C42" s="104"/>
      <c r="D42" s="104"/>
      <c r="E42" s="104"/>
      <c r="F42" s="104"/>
      <c r="G42" s="104"/>
      <c r="H42" s="105"/>
      <c r="I42" s="104"/>
      <c r="J42" s="104"/>
      <c r="K42" s="104">
        <v>50</v>
      </c>
      <c r="L42" s="104"/>
      <c r="M42" s="111">
        <v>75</v>
      </c>
      <c r="O42" s="105"/>
      <c r="P42" s="104"/>
      <c r="Q42" s="104"/>
      <c r="R42" s="112"/>
      <c r="S42" s="112"/>
      <c r="T42" s="112"/>
      <c r="U42" s="112"/>
      <c r="V42" s="112"/>
      <c r="W42" s="112"/>
      <c r="X42" s="113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</row>
    <row r="43" spans="1:40" ht="12.75" outlineLevel="1" x14ac:dyDescent="0.2">
      <c r="A43" s="109"/>
      <c r="B43" s="125" t="s">
        <v>162</v>
      </c>
      <c r="C43" s="104"/>
      <c r="D43" s="104"/>
      <c r="E43" s="104"/>
      <c r="F43" s="104"/>
      <c r="G43" s="104"/>
      <c r="H43" s="105"/>
      <c r="I43" s="104"/>
      <c r="J43" s="104"/>
      <c r="K43" s="104">
        <v>95</v>
      </c>
      <c r="L43" s="104"/>
      <c r="M43" s="111">
        <v>95</v>
      </c>
      <c r="O43" s="105"/>
      <c r="P43" s="104"/>
      <c r="Q43" s="104"/>
      <c r="R43" s="112"/>
      <c r="S43" s="112"/>
      <c r="T43" s="112"/>
      <c r="U43" s="112"/>
      <c r="V43" s="112"/>
      <c r="W43" s="112"/>
      <c r="X43" s="113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</row>
    <row r="44" spans="1:40" ht="12.75" outlineLevel="1" x14ac:dyDescent="0.2">
      <c r="A44" s="109"/>
      <c r="B44" s="125" t="s">
        <v>163</v>
      </c>
      <c r="C44" s="104"/>
      <c r="D44" s="104"/>
      <c r="E44" s="104"/>
      <c r="F44" s="104"/>
      <c r="G44" s="104"/>
      <c r="H44" s="105"/>
      <c r="I44" s="104"/>
      <c r="J44" s="104"/>
      <c r="K44" s="104">
        <v>0</v>
      </c>
      <c r="L44" s="104"/>
      <c r="M44" s="111">
        <v>0</v>
      </c>
      <c r="O44" s="105"/>
      <c r="P44" s="104"/>
      <c r="Q44" s="104"/>
      <c r="R44" s="112"/>
      <c r="S44" s="112"/>
      <c r="T44" s="112"/>
      <c r="U44" s="112"/>
      <c r="V44" s="112"/>
      <c r="W44" s="112"/>
      <c r="X44" s="113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</row>
    <row r="45" spans="1:40" ht="12.75" outlineLevel="1" x14ac:dyDescent="0.2">
      <c r="A45" s="109"/>
      <c r="B45" s="125" t="s">
        <v>164</v>
      </c>
      <c r="C45" s="104"/>
      <c r="D45" s="104"/>
      <c r="E45" s="104"/>
      <c r="F45" s="104"/>
      <c r="G45" s="104"/>
      <c r="H45" s="105"/>
      <c r="I45" s="104"/>
      <c r="J45" s="104"/>
      <c r="K45" s="104">
        <v>0</v>
      </c>
      <c r="L45" s="104"/>
      <c r="M45" s="111">
        <v>0</v>
      </c>
      <c r="O45" s="105"/>
      <c r="P45" s="104"/>
      <c r="Q45" s="104"/>
      <c r="R45" s="112"/>
      <c r="S45" s="112"/>
      <c r="T45" s="112"/>
      <c r="U45" s="112"/>
      <c r="V45" s="112"/>
      <c r="W45" s="112"/>
      <c r="X45" s="113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</row>
    <row r="46" spans="1:40" ht="12.75" outlineLevel="1" x14ac:dyDescent="0.2">
      <c r="A46" s="109"/>
      <c r="B46" s="125" t="s">
        <v>165</v>
      </c>
      <c r="C46" s="104"/>
      <c r="D46" s="104"/>
      <c r="E46" s="104"/>
      <c r="F46" s="104"/>
      <c r="G46" s="104"/>
      <c r="H46" s="105"/>
      <c r="I46" s="104"/>
      <c r="J46" s="104"/>
      <c r="K46" s="104">
        <v>0</v>
      </c>
      <c r="L46" s="104"/>
      <c r="M46" s="111">
        <v>0</v>
      </c>
      <c r="O46" s="105"/>
      <c r="P46" s="104"/>
      <c r="Q46" s="104"/>
      <c r="R46" s="112"/>
      <c r="S46" s="112"/>
      <c r="T46" s="112"/>
      <c r="U46" s="112"/>
      <c r="V46" s="112"/>
      <c r="W46" s="112"/>
      <c r="X46" s="113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</row>
    <row r="47" spans="1:40" ht="12.75" outlineLevel="1" x14ac:dyDescent="0.2">
      <c r="A47" s="109"/>
      <c r="B47" s="125" t="s">
        <v>166</v>
      </c>
      <c r="C47" s="104"/>
      <c r="D47" s="104"/>
      <c r="E47" s="104"/>
      <c r="F47" s="104"/>
      <c r="G47" s="104"/>
      <c r="H47" s="105"/>
      <c r="I47" s="104"/>
      <c r="J47" s="104"/>
      <c r="K47" s="104">
        <v>0</v>
      </c>
      <c r="L47" s="104"/>
      <c r="M47" s="111">
        <v>0</v>
      </c>
      <c r="O47" s="105"/>
      <c r="P47" s="104"/>
      <c r="Q47" s="104"/>
      <c r="R47" s="112"/>
      <c r="S47" s="112"/>
      <c r="T47" s="112"/>
      <c r="U47" s="112"/>
      <c r="V47" s="112"/>
      <c r="W47" s="112"/>
      <c r="X47" s="113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</row>
    <row r="48" spans="1:40" ht="12.75" outlineLevel="1" x14ac:dyDescent="0.2">
      <c r="A48" s="109"/>
      <c r="B48" s="125" t="s">
        <v>167</v>
      </c>
      <c r="C48" s="104"/>
      <c r="D48" s="104"/>
      <c r="E48" s="104"/>
      <c r="F48" s="104"/>
      <c r="G48" s="104"/>
      <c r="H48" s="105"/>
      <c r="I48" s="104"/>
      <c r="J48" s="104"/>
      <c r="K48" s="104"/>
      <c r="L48" s="104"/>
      <c r="M48" s="111">
        <v>143</v>
      </c>
      <c r="O48" s="105"/>
      <c r="P48" s="104"/>
      <c r="Q48" s="104"/>
      <c r="R48" s="112"/>
      <c r="S48" s="112"/>
      <c r="T48" s="112"/>
      <c r="U48" s="112"/>
      <c r="V48" s="112"/>
      <c r="W48" s="112"/>
      <c r="X48" s="113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</row>
    <row r="49" spans="1:40" ht="12.75" outlineLevel="1" x14ac:dyDescent="0.2">
      <c r="A49" s="109"/>
      <c r="B49" s="121" t="s">
        <v>168</v>
      </c>
      <c r="C49" s="104"/>
      <c r="D49" s="104"/>
      <c r="E49" s="104"/>
      <c r="F49" s="104"/>
      <c r="G49" s="104"/>
      <c r="H49" s="105"/>
      <c r="I49" s="104"/>
      <c r="J49" s="104"/>
      <c r="K49" s="104">
        <v>0</v>
      </c>
      <c r="L49" s="104"/>
      <c r="M49" s="111">
        <v>0</v>
      </c>
      <c r="O49" s="105"/>
      <c r="P49" s="104"/>
      <c r="Q49" s="104"/>
      <c r="R49" s="112"/>
      <c r="S49" s="112"/>
      <c r="T49" s="112"/>
      <c r="U49" s="112"/>
      <c r="V49" s="112"/>
      <c r="W49" s="112"/>
      <c r="X49" s="113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</row>
    <row r="50" spans="1:40" ht="12.75" x14ac:dyDescent="0.2">
      <c r="A50" s="109"/>
      <c r="B50" s="115" t="s">
        <v>169</v>
      </c>
      <c r="C50" s="104"/>
      <c r="D50" s="104"/>
      <c r="E50" s="104"/>
      <c r="F50" s="104"/>
      <c r="G50" s="104"/>
      <c r="H50" s="105"/>
      <c r="I50" s="104"/>
      <c r="J50" s="104"/>
      <c r="K50" s="104"/>
      <c r="L50" s="104"/>
      <c r="M50" s="111"/>
      <c r="N50" s="127">
        <f>SUM(M39:M49)</f>
        <v>513</v>
      </c>
      <c r="O50" s="105"/>
      <c r="P50" s="104"/>
      <c r="Q50" s="104"/>
      <c r="R50" s="112"/>
      <c r="S50" s="112"/>
      <c r="T50" s="112"/>
      <c r="U50" s="112"/>
      <c r="V50" s="112"/>
      <c r="W50" s="112"/>
      <c r="X50" s="113"/>
      <c r="Y50" s="109"/>
      <c r="Z50" s="109"/>
      <c r="AA50" s="109" t="s">
        <v>144</v>
      </c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</row>
    <row r="51" spans="1:40" ht="12.75" x14ac:dyDescent="0.2">
      <c r="A51" s="109"/>
      <c r="B51" s="110" t="s">
        <v>170</v>
      </c>
      <c r="C51" s="104"/>
      <c r="D51" s="104"/>
      <c r="E51" s="104"/>
      <c r="F51" s="104"/>
      <c r="G51" s="104"/>
      <c r="H51" s="105"/>
      <c r="I51" s="104"/>
      <c r="J51" s="104"/>
      <c r="K51" s="104">
        <v>1000</v>
      </c>
      <c r="L51" s="104"/>
      <c r="M51" s="111"/>
      <c r="N51" s="127">
        <v>1825</v>
      </c>
      <c r="O51" s="105"/>
      <c r="P51" s="104"/>
      <c r="Q51" s="104"/>
      <c r="R51" s="112"/>
      <c r="S51" s="112"/>
      <c r="T51" s="112"/>
      <c r="U51" s="112" t="s">
        <v>132</v>
      </c>
      <c r="V51" s="112"/>
      <c r="W51" s="112"/>
      <c r="X51" s="113"/>
      <c r="Y51" s="109"/>
      <c r="Z51" s="109"/>
      <c r="AA51" s="109" t="s">
        <v>171</v>
      </c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</row>
    <row r="52" spans="1:40" ht="12.75" x14ac:dyDescent="0.2">
      <c r="A52" s="109"/>
      <c r="B52" s="115" t="s">
        <v>172</v>
      </c>
      <c r="C52" s="104"/>
      <c r="D52" s="104"/>
      <c r="E52" s="104"/>
      <c r="F52" s="104"/>
      <c r="G52" s="104"/>
      <c r="H52" s="105"/>
      <c r="I52" s="104"/>
      <c r="J52" s="104"/>
      <c r="K52" s="104">
        <v>0</v>
      </c>
      <c r="L52" s="104"/>
      <c r="M52" s="111"/>
      <c r="N52" s="106">
        <v>0</v>
      </c>
      <c r="O52" s="105"/>
      <c r="P52" s="104"/>
      <c r="Q52" s="104"/>
      <c r="R52" s="112"/>
      <c r="S52" s="112"/>
      <c r="T52" s="112"/>
      <c r="U52" s="112" t="s">
        <v>115</v>
      </c>
      <c r="V52" s="112"/>
      <c r="W52" s="112"/>
      <c r="X52" s="113" t="s">
        <v>173</v>
      </c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</row>
    <row r="53" spans="1:40" ht="12.75" x14ac:dyDescent="0.2">
      <c r="A53" s="137"/>
      <c r="B53" s="115"/>
      <c r="C53" s="116">
        <f t="shared" ref="C53:L53" si="2">SUM(C19:C52)</f>
        <v>0</v>
      </c>
      <c r="D53" s="116">
        <f t="shared" si="2"/>
        <v>0</v>
      </c>
      <c r="E53" s="116">
        <f t="shared" si="2"/>
        <v>0</v>
      </c>
      <c r="F53" s="116">
        <f t="shared" si="2"/>
        <v>0</v>
      </c>
      <c r="G53" s="116">
        <f t="shared" si="2"/>
        <v>0</v>
      </c>
      <c r="H53" s="118">
        <f t="shared" si="2"/>
        <v>0</v>
      </c>
      <c r="I53" s="116">
        <f t="shared" si="2"/>
        <v>0</v>
      </c>
      <c r="J53" s="116">
        <f t="shared" si="2"/>
        <v>0</v>
      </c>
      <c r="K53" s="116">
        <f t="shared" si="2"/>
        <v>5816</v>
      </c>
      <c r="L53" s="116">
        <f t="shared" si="2"/>
        <v>1685</v>
      </c>
      <c r="M53" s="119"/>
      <c r="N53" s="138">
        <f>SUM(N19:N52)</f>
        <v>27683.809999999998</v>
      </c>
      <c r="O53" s="118">
        <f t="shared" ref="O53:P53" si="3">SUM(O19:O52)</f>
        <v>0</v>
      </c>
      <c r="P53" s="104">
        <f>G53-N53</f>
        <v>-27683.809999999998</v>
      </c>
      <c r="Q53" s="104"/>
      <c r="R53" s="112"/>
      <c r="S53" s="112"/>
      <c r="T53" s="112"/>
      <c r="U53" s="112"/>
      <c r="V53" s="112"/>
      <c r="W53" s="112"/>
      <c r="X53" s="113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</row>
    <row r="54" spans="1:40" ht="12.75" x14ac:dyDescent="0.2">
      <c r="A54" s="139" t="s">
        <v>17</v>
      </c>
      <c r="B54" s="115"/>
      <c r="C54" s="103"/>
      <c r="D54" s="103"/>
      <c r="E54" s="104"/>
      <c r="F54" s="104"/>
      <c r="G54" s="104"/>
      <c r="H54" s="105"/>
      <c r="I54" s="104"/>
      <c r="J54" s="104"/>
      <c r="K54" s="104"/>
      <c r="L54" s="104"/>
      <c r="M54" s="104"/>
      <c r="N54" s="106"/>
      <c r="O54" s="105"/>
      <c r="P54" s="104"/>
      <c r="Q54" s="104"/>
      <c r="R54" s="107"/>
      <c r="S54" s="107"/>
      <c r="T54" s="107"/>
      <c r="U54" s="107"/>
      <c r="V54" s="107"/>
      <c r="W54" s="107"/>
      <c r="X54" s="108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</row>
    <row r="55" spans="1:40" ht="12.75" x14ac:dyDescent="0.2">
      <c r="A55" s="140" t="s">
        <v>174</v>
      </c>
      <c r="B55" s="110" t="s">
        <v>175</v>
      </c>
      <c r="C55" s="134"/>
      <c r="D55" s="104">
        <v>4320</v>
      </c>
      <c r="E55" s="104">
        <v>6000</v>
      </c>
      <c r="F55" s="104">
        <v>2500</v>
      </c>
      <c r="G55" s="141">
        <v>3000</v>
      </c>
      <c r="H55" s="105"/>
      <c r="I55" s="104"/>
      <c r="J55" s="104"/>
      <c r="K55" s="104">
        <v>310</v>
      </c>
      <c r="L55" s="104"/>
      <c r="M55" s="111"/>
      <c r="N55" s="106"/>
      <c r="O55" s="105"/>
      <c r="P55" s="104"/>
      <c r="Q55" s="104"/>
      <c r="R55" s="112"/>
      <c r="S55" s="112" t="s">
        <v>108</v>
      </c>
      <c r="T55" s="112"/>
      <c r="U55" s="112" t="s">
        <v>122</v>
      </c>
      <c r="V55" s="112"/>
      <c r="W55" s="112"/>
      <c r="X55" s="113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</row>
    <row r="56" spans="1:40" ht="12.75" x14ac:dyDescent="0.2">
      <c r="A56" s="87"/>
      <c r="B56" s="110" t="s">
        <v>176</v>
      </c>
      <c r="C56" s="134"/>
      <c r="D56" s="104">
        <v>6850</v>
      </c>
      <c r="E56" s="104">
        <v>6000</v>
      </c>
      <c r="F56" s="104">
        <v>12000</v>
      </c>
      <c r="G56" s="141">
        <v>12000</v>
      </c>
      <c r="H56" s="105"/>
      <c r="I56" s="104"/>
      <c r="J56" s="104"/>
      <c r="K56" s="104">
        <v>310</v>
      </c>
      <c r="L56" s="104"/>
      <c r="M56" s="111"/>
      <c r="N56" s="106"/>
      <c r="O56" s="105"/>
      <c r="P56" s="104"/>
      <c r="Q56" s="104"/>
      <c r="R56" s="112" t="s">
        <v>118</v>
      </c>
      <c r="S56" s="112"/>
      <c r="T56" s="112"/>
      <c r="U56" s="112"/>
      <c r="V56" s="112"/>
      <c r="W56" s="112"/>
      <c r="X56" s="113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</row>
    <row r="57" spans="1:40" ht="12.75" x14ac:dyDescent="0.2">
      <c r="A57" s="109" t="s">
        <v>177</v>
      </c>
      <c r="B57" s="110" t="s">
        <v>178</v>
      </c>
      <c r="C57" s="134"/>
      <c r="D57" s="104">
        <v>750</v>
      </c>
      <c r="E57" s="104">
        <v>6000</v>
      </c>
      <c r="F57" s="104">
        <v>2250</v>
      </c>
      <c r="G57" s="141">
        <v>3000</v>
      </c>
      <c r="H57" s="105"/>
      <c r="I57" s="104"/>
      <c r="J57" s="104"/>
      <c r="K57" s="104">
        <v>310</v>
      </c>
      <c r="L57" s="104"/>
      <c r="M57" s="111"/>
      <c r="N57" s="106"/>
      <c r="O57" s="105"/>
      <c r="P57" s="104"/>
      <c r="Q57" s="104"/>
      <c r="R57" s="112"/>
      <c r="S57" s="112"/>
      <c r="T57" s="112"/>
      <c r="U57" s="112"/>
      <c r="V57" s="112"/>
      <c r="W57" s="112"/>
      <c r="X57" s="113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</row>
    <row r="58" spans="1:40" ht="12.75" x14ac:dyDescent="0.2">
      <c r="A58" s="109"/>
      <c r="B58" s="110" t="s">
        <v>179</v>
      </c>
      <c r="C58" s="135"/>
      <c r="D58" s="135"/>
      <c r="E58" s="104"/>
      <c r="F58" s="104"/>
      <c r="G58" s="104"/>
      <c r="H58" s="105"/>
      <c r="I58" s="104"/>
      <c r="J58" s="104"/>
      <c r="K58" s="104"/>
      <c r="L58" s="104"/>
      <c r="M58" s="111"/>
      <c r="N58" s="142">
        <v>555</v>
      </c>
      <c r="O58" s="105"/>
      <c r="P58" s="104"/>
      <c r="Q58" s="104"/>
      <c r="R58" s="112"/>
      <c r="S58" s="112"/>
      <c r="T58" s="112"/>
      <c r="U58" s="112"/>
      <c r="V58" s="112"/>
      <c r="W58" s="112"/>
      <c r="X58" s="113"/>
      <c r="Y58" s="109"/>
      <c r="Z58" s="109"/>
      <c r="AA58" s="109" t="s">
        <v>180</v>
      </c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</row>
    <row r="59" spans="1:40" ht="12.75" x14ac:dyDescent="0.2">
      <c r="A59" s="109"/>
      <c r="B59" s="115" t="s">
        <v>181</v>
      </c>
      <c r="C59" s="104"/>
      <c r="D59" s="104"/>
      <c r="E59" s="104"/>
      <c r="F59" s="104"/>
      <c r="G59" s="104"/>
      <c r="H59" s="105"/>
      <c r="I59" s="104"/>
      <c r="J59" s="104"/>
      <c r="K59" s="104">
        <v>100</v>
      </c>
      <c r="L59" s="104"/>
      <c r="M59" s="111"/>
      <c r="N59" s="106"/>
      <c r="O59" s="105"/>
      <c r="P59" s="104"/>
      <c r="Q59" s="104"/>
      <c r="R59" s="112"/>
      <c r="S59" s="112"/>
      <c r="T59" s="112"/>
      <c r="U59" s="112" t="s">
        <v>182</v>
      </c>
      <c r="V59" s="112"/>
      <c r="W59" s="112"/>
      <c r="X59" s="113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</row>
    <row r="60" spans="1:40" ht="12.75" x14ac:dyDescent="0.2">
      <c r="A60" s="109"/>
      <c r="B60" s="102"/>
      <c r="C60" s="116">
        <f t="shared" ref="C60:L60" si="4">SUM(C55:C59)</f>
        <v>0</v>
      </c>
      <c r="D60" s="116">
        <f t="shared" si="4"/>
        <v>11920</v>
      </c>
      <c r="E60" s="116">
        <f t="shared" si="4"/>
        <v>18000</v>
      </c>
      <c r="F60" s="116">
        <f t="shared" si="4"/>
        <v>16750</v>
      </c>
      <c r="G60" s="117">
        <f t="shared" si="4"/>
        <v>18000</v>
      </c>
      <c r="H60" s="118">
        <f t="shared" si="4"/>
        <v>0</v>
      </c>
      <c r="I60" s="116">
        <f t="shared" si="4"/>
        <v>0</v>
      </c>
      <c r="J60" s="116">
        <f t="shared" si="4"/>
        <v>0</v>
      </c>
      <c r="K60" s="116">
        <f t="shared" si="4"/>
        <v>1030</v>
      </c>
      <c r="L60" s="116">
        <f t="shared" si="4"/>
        <v>0</v>
      </c>
      <c r="M60" s="119"/>
      <c r="N60" s="138">
        <f t="shared" ref="N60:O60" si="5">SUM(N55:N59)</f>
        <v>555</v>
      </c>
      <c r="O60" s="118">
        <f t="shared" si="5"/>
        <v>0</v>
      </c>
      <c r="P60" s="104">
        <f>G60-N60</f>
        <v>17445</v>
      </c>
      <c r="Q60" s="104"/>
      <c r="R60" s="112"/>
      <c r="S60" s="112"/>
      <c r="T60" s="112"/>
      <c r="U60" s="112"/>
      <c r="V60" s="112"/>
      <c r="W60" s="112"/>
      <c r="X60" s="113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</row>
    <row r="61" spans="1:40" ht="12.75" x14ac:dyDescent="0.2">
      <c r="A61" s="139" t="s">
        <v>183</v>
      </c>
      <c r="B61" s="102"/>
      <c r="C61" s="103"/>
      <c r="D61" s="103"/>
      <c r="E61" s="104"/>
      <c r="F61" s="104"/>
      <c r="G61" s="104"/>
      <c r="H61" s="105"/>
      <c r="I61" s="104"/>
      <c r="J61" s="104"/>
      <c r="K61" s="104"/>
      <c r="L61" s="104"/>
      <c r="M61" s="104"/>
      <c r="N61" s="106"/>
      <c r="O61" s="105"/>
      <c r="P61" s="104"/>
      <c r="Q61" s="104"/>
      <c r="R61" s="107"/>
      <c r="S61" s="107"/>
      <c r="T61" s="107"/>
      <c r="U61" s="107"/>
      <c r="V61" s="107"/>
      <c r="W61" s="107" t="s">
        <v>108</v>
      </c>
      <c r="X61" s="108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</row>
    <row r="62" spans="1:40" ht="12.75" x14ac:dyDescent="0.2">
      <c r="A62" s="143"/>
      <c r="B62" s="115" t="s">
        <v>183</v>
      </c>
      <c r="C62" s="104"/>
      <c r="D62" s="104"/>
      <c r="E62" s="104"/>
      <c r="F62" s="104"/>
      <c r="G62" s="104"/>
      <c r="H62" s="105"/>
      <c r="I62" s="104"/>
      <c r="J62" s="104"/>
      <c r="K62" s="104"/>
      <c r="L62" s="104"/>
      <c r="M62" s="104"/>
      <c r="N62" s="106"/>
      <c r="O62" s="105"/>
      <c r="P62" s="104"/>
      <c r="Q62" s="104"/>
      <c r="R62" s="112"/>
      <c r="S62" s="112"/>
      <c r="T62" s="112"/>
      <c r="U62" s="112" t="s">
        <v>104</v>
      </c>
      <c r="V62" s="112"/>
      <c r="W62" s="112" t="s">
        <v>108</v>
      </c>
      <c r="X62" s="113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</row>
    <row r="63" spans="1:40" ht="12.75" x14ac:dyDescent="0.2">
      <c r="A63" s="109" t="s">
        <v>113</v>
      </c>
      <c r="B63" s="115" t="s">
        <v>184</v>
      </c>
      <c r="C63" s="104"/>
      <c r="D63" s="104"/>
      <c r="E63" s="104"/>
      <c r="F63" s="104"/>
      <c r="G63" s="144">
        <f>18*480* 1.14*VLOOKUP(A63, '[1]GrantProgram Status Lookup'!A2:B5, 2, FALSE)</f>
        <v>9849.5999999999985</v>
      </c>
      <c r="H63" s="105"/>
      <c r="I63" s="104"/>
      <c r="J63" s="104"/>
      <c r="K63" s="104"/>
      <c r="L63" s="104"/>
      <c r="M63" s="104"/>
      <c r="N63" s="106"/>
      <c r="O63" s="105"/>
      <c r="P63" s="104"/>
      <c r="Q63" s="104"/>
      <c r="R63" s="112"/>
      <c r="S63" s="112"/>
      <c r="T63" s="112"/>
      <c r="U63" s="112" t="s">
        <v>104</v>
      </c>
      <c r="V63" s="112"/>
      <c r="W63" s="112" t="s">
        <v>185</v>
      </c>
      <c r="X63" s="113"/>
      <c r="Y63" s="109"/>
      <c r="Z63" s="109"/>
      <c r="AA63" s="114" t="s">
        <v>186</v>
      </c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</row>
    <row r="64" spans="1:40" ht="12.75" x14ac:dyDescent="0.2">
      <c r="A64" s="139" t="s">
        <v>187</v>
      </c>
      <c r="B64" s="102"/>
      <c r="C64" s="103"/>
      <c r="D64" s="103"/>
      <c r="E64" s="104"/>
      <c r="F64" s="104"/>
      <c r="G64" s="104"/>
      <c r="H64" s="105"/>
      <c r="I64" s="104"/>
      <c r="J64" s="104"/>
      <c r="K64" s="104"/>
      <c r="L64" s="104"/>
      <c r="M64" s="104"/>
      <c r="N64" s="106"/>
      <c r="O64" s="105"/>
      <c r="P64" s="104"/>
      <c r="Q64" s="104"/>
      <c r="R64" s="107"/>
      <c r="S64" s="107"/>
      <c r="T64" s="107"/>
      <c r="U64" s="107"/>
      <c r="V64" s="107"/>
      <c r="W64" s="107" t="s">
        <v>108</v>
      </c>
      <c r="X64" s="108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</row>
    <row r="65" spans="1:40" ht="12.75" x14ac:dyDescent="0.2">
      <c r="A65" s="143"/>
      <c r="B65" s="145" t="s">
        <v>188</v>
      </c>
      <c r="C65" s="146"/>
      <c r="D65" s="146"/>
      <c r="E65" s="146"/>
      <c r="F65" s="146"/>
      <c r="G65" s="146"/>
      <c r="H65" s="147"/>
      <c r="I65" s="104"/>
      <c r="J65" s="104"/>
      <c r="K65" s="104"/>
      <c r="L65" s="104"/>
      <c r="M65" s="104"/>
      <c r="O65" s="105"/>
      <c r="P65" s="104"/>
      <c r="Y65" s="109"/>
      <c r="Z65" s="109"/>
      <c r="AA65" s="114" t="s">
        <v>189</v>
      </c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</row>
    <row r="66" spans="1:40" ht="12.75" x14ac:dyDescent="0.2">
      <c r="A66" s="101" t="s">
        <v>190</v>
      </c>
      <c r="B66" s="102"/>
      <c r="C66" s="103"/>
      <c r="D66" s="103"/>
      <c r="E66" s="104"/>
      <c r="F66" s="104"/>
      <c r="G66" s="104"/>
      <c r="H66" s="105"/>
      <c r="I66" s="104"/>
      <c r="J66" s="104"/>
      <c r="K66" s="104"/>
      <c r="L66" s="104"/>
      <c r="M66" s="104"/>
      <c r="N66" s="106"/>
      <c r="O66" s="105"/>
      <c r="P66" s="104"/>
      <c r="Q66" s="104"/>
      <c r="R66" s="107"/>
      <c r="S66" s="107"/>
      <c r="T66" s="107"/>
      <c r="U66" s="107"/>
      <c r="V66" s="107"/>
      <c r="W66" s="107"/>
      <c r="X66" s="108"/>
      <c r="Y66" s="109"/>
      <c r="Z66" s="109"/>
      <c r="AA66" s="114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</row>
    <row r="67" spans="1:40" ht="12.75" x14ac:dyDescent="0.2">
      <c r="A67" s="109"/>
      <c r="B67" s="110" t="s">
        <v>191</v>
      </c>
      <c r="C67" s="104"/>
      <c r="D67" s="104"/>
      <c r="E67" s="104"/>
      <c r="F67" s="104"/>
      <c r="G67" s="148">
        <v>4000</v>
      </c>
      <c r="H67" s="105"/>
      <c r="I67" s="104"/>
      <c r="J67" s="104"/>
      <c r="K67" s="104"/>
      <c r="L67" s="104"/>
      <c r="M67" s="111"/>
      <c r="N67" s="127">
        <v>2500</v>
      </c>
      <c r="O67" s="105"/>
      <c r="P67" s="104"/>
      <c r="Q67" s="104"/>
      <c r="R67" s="112"/>
      <c r="S67" s="112"/>
      <c r="T67" s="112"/>
      <c r="U67" s="112" t="s">
        <v>182</v>
      </c>
      <c r="V67" s="112"/>
      <c r="W67" s="112" t="s">
        <v>192</v>
      </c>
      <c r="X67" s="113"/>
      <c r="Y67" s="109"/>
      <c r="Z67" s="109"/>
      <c r="AA67" s="109" t="s">
        <v>17</v>
      </c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</row>
    <row r="68" spans="1:40" ht="12.75" x14ac:dyDescent="0.2">
      <c r="A68" s="109"/>
      <c r="B68" s="110" t="s">
        <v>193</v>
      </c>
      <c r="C68" s="104"/>
      <c r="D68" s="104"/>
      <c r="E68" s="104"/>
      <c r="F68" s="104"/>
      <c r="G68" s="104"/>
      <c r="H68" s="105"/>
      <c r="I68" s="104"/>
      <c r="J68" s="104"/>
      <c r="K68" s="104"/>
      <c r="L68" s="104"/>
      <c r="M68" s="111"/>
      <c r="N68" s="127">
        <v>200</v>
      </c>
      <c r="O68" s="105"/>
      <c r="P68" s="104"/>
      <c r="Q68" s="104"/>
      <c r="R68" s="112"/>
      <c r="S68" s="112"/>
      <c r="T68" s="112"/>
      <c r="U68" s="112" t="s">
        <v>104</v>
      </c>
      <c r="V68" s="112"/>
      <c r="W68" s="112" t="s">
        <v>108</v>
      </c>
      <c r="X68" s="113"/>
      <c r="Y68" s="109"/>
      <c r="Z68" s="109"/>
      <c r="AA68" s="109" t="s">
        <v>17</v>
      </c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</row>
    <row r="69" spans="1:40" ht="12.75" x14ac:dyDescent="0.2">
      <c r="A69" s="143"/>
      <c r="B69" s="115" t="s">
        <v>194</v>
      </c>
      <c r="C69" s="104"/>
      <c r="D69" s="104"/>
      <c r="E69" s="104"/>
      <c r="F69" s="104"/>
      <c r="G69" s="104"/>
      <c r="H69" s="105"/>
      <c r="I69" s="104"/>
      <c r="J69" s="104"/>
      <c r="K69" s="104"/>
      <c r="L69" s="104"/>
      <c r="M69" s="111"/>
      <c r="N69" s="106"/>
      <c r="O69" s="105"/>
      <c r="P69" s="104"/>
      <c r="Q69" s="104"/>
      <c r="R69" s="112"/>
      <c r="S69" s="112"/>
      <c r="T69" s="112"/>
      <c r="U69" s="112"/>
      <c r="V69" s="112"/>
      <c r="W69" s="112"/>
      <c r="X69" s="113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</row>
    <row r="70" spans="1:40" ht="12.75" x14ac:dyDescent="0.2">
      <c r="A70" s="143"/>
      <c r="B70" s="115"/>
      <c r="C70" s="116">
        <f t="shared" ref="C70:L70" si="6">SUM(C67:C69)</f>
        <v>0</v>
      </c>
      <c r="D70" s="116">
        <f t="shared" si="6"/>
        <v>0</v>
      </c>
      <c r="E70" s="116">
        <f t="shared" si="6"/>
        <v>0</v>
      </c>
      <c r="F70" s="116">
        <f t="shared" si="6"/>
        <v>0</v>
      </c>
      <c r="G70" s="116">
        <f t="shared" si="6"/>
        <v>4000</v>
      </c>
      <c r="H70" s="118">
        <f t="shared" si="6"/>
        <v>0</v>
      </c>
      <c r="I70" s="116">
        <f t="shared" si="6"/>
        <v>0</v>
      </c>
      <c r="J70" s="116">
        <f t="shared" si="6"/>
        <v>0</v>
      </c>
      <c r="K70" s="116">
        <f t="shared" si="6"/>
        <v>0</v>
      </c>
      <c r="L70" s="116">
        <f t="shared" si="6"/>
        <v>0</v>
      </c>
      <c r="M70" s="119"/>
      <c r="N70" s="138">
        <f t="shared" ref="N70:O70" si="7">SUM(N67:N69)</f>
        <v>2700</v>
      </c>
      <c r="O70" s="118">
        <f t="shared" si="7"/>
        <v>0</v>
      </c>
      <c r="P70" s="104">
        <f>G70-N70</f>
        <v>1300</v>
      </c>
      <c r="Q70" s="104"/>
      <c r="R70" s="112"/>
      <c r="S70" s="112"/>
      <c r="T70" s="112"/>
      <c r="U70" s="112"/>
      <c r="V70" s="112"/>
      <c r="W70" s="112"/>
      <c r="X70" s="113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</row>
    <row r="71" spans="1:40" ht="12.75" x14ac:dyDescent="0.2">
      <c r="A71" s="139" t="s">
        <v>195</v>
      </c>
      <c r="B71" s="115"/>
      <c r="C71" s="103"/>
      <c r="D71" s="103"/>
      <c r="E71" s="104"/>
      <c r="F71" s="104"/>
      <c r="G71" s="104"/>
      <c r="H71" s="105"/>
      <c r="I71" s="104"/>
      <c r="J71" s="104"/>
      <c r="K71" s="104"/>
      <c r="L71" s="104"/>
      <c r="M71" s="104"/>
      <c r="N71" s="106"/>
      <c r="O71" s="105"/>
      <c r="P71" s="104"/>
      <c r="Q71" s="104"/>
      <c r="R71" s="107"/>
      <c r="S71" s="107"/>
      <c r="T71" s="107"/>
      <c r="U71" s="107"/>
      <c r="V71" s="107"/>
      <c r="W71" s="107"/>
      <c r="X71" s="108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</row>
    <row r="72" spans="1:40" ht="12.75" x14ac:dyDescent="0.2">
      <c r="A72" s="109"/>
      <c r="B72" s="110" t="s">
        <v>196</v>
      </c>
      <c r="C72" s="104"/>
      <c r="D72" s="104"/>
      <c r="E72" s="104"/>
      <c r="F72" s="104"/>
      <c r="G72" s="104">
        <v>0</v>
      </c>
      <c r="H72" s="105"/>
      <c r="I72" s="104"/>
      <c r="J72" s="104"/>
      <c r="K72" s="104"/>
      <c r="L72" s="104"/>
      <c r="M72" s="111"/>
      <c r="N72" s="127">
        <v>200</v>
      </c>
      <c r="O72" s="105"/>
      <c r="P72" s="104"/>
      <c r="Q72" s="104"/>
      <c r="R72" s="112" t="s">
        <v>156</v>
      </c>
      <c r="S72" s="112"/>
      <c r="T72" s="112"/>
      <c r="U72" s="112" t="s">
        <v>104</v>
      </c>
      <c r="V72" s="112"/>
      <c r="W72" s="112" t="s">
        <v>108</v>
      </c>
      <c r="X72" s="113"/>
      <c r="Y72" s="109">
        <v>8</v>
      </c>
      <c r="Z72" s="109" t="s">
        <v>197</v>
      </c>
      <c r="AA72" s="109" t="s">
        <v>17</v>
      </c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</row>
    <row r="73" spans="1:40" ht="12.75" x14ac:dyDescent="0.2">
      <c r="A73" s="109"/>
      <c r="B73" s="110" t="s">
        <v>198</v>
      </c>
      <c r="C73" s="104"/>
      <c r="D73" s="104"/>
      <c r="E73" s="104"/>
      <c r="F73" s="104"/>
      <c r="G73" s="148">
        <v>1000</v>
      </c>
      <c r="H73" s="105"/>
      <c r="I73" s="104"/>
      <c r="J73" s="104"/>
      <c r="K73" s="104"/>
      <c r="L73" s="104"/>
      <c r="M73" s="111"/>
      <c r="N73" s="127">
        <v>3057</v>
      </c>
      <c r="O73" s="105"/>
      <c r="P73" s="104"/>
      <c r="Q73" s="104"/>
      <c r="R73" s="112"/>
      <c r="S73" s="112"/>
      <c r="T73" s="112"/>
      <c r="U73" s="112" t="s">
        <v>104</v>
      </c>
      <c r="V73" s="112"/>
      <c r="W73" s="112" t="s">
        <v>108</v>
      </c>
      <c r="X73" s="113"/>
      <c r="Y73" s="109">
        <v>260</v>
      </c>
      <c r="Z73" s="109" t="s">
        <v>199</v>
      </c>
      <c r="AA73" s="109" t="s">
        <v>17</v>
      </c>
      <c r="AB73" s="114" t="s">
        <v>200</v>
      </c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</row>
    <row r="74" spans="1:40" ht="12.75" x14ac:dyDescent="0.2">
      <c r="A74" s="109"/>
      <c r="B74" s="115" t="s">
        <v>201</v>
      </c>
      <c r="C74" s="104"/>
      <c r="D74" s="104"/>
      <c r="E74" s="104"/>
      <c r="F74" s="104"/>
      <c r="G74" s="148">
        <v>2125</v>
      </c>
      <c r="H74" s="105"/>
      <c r="I74" s="104"/>
      <c r="J74" s="104"/>
      <c r="K74" s="104"/>
      <c r="L74" s="104"/>
      <c r="M74" s="111"/>
      <c r="N74" s="106"/>
      <c r="O74" s="105"/>
      <c r="P74" s="104"/>
      <c r="Q74" s="104"/>
      <c r="R74" s="112"/>
      <c r="S74" s="112"/>
      <c r="T74" s="112"/>
      <c r="U74" s="112" t="s">
        <v>104</v>
      </c>
      <c r="V74" s="123" t="s">
        <v>108</v>
      </c>
      <c r="W74" s="112" t="s">
        <v>108</v>
      </c>
      <c r="X74" s="113" t="s">
        <v>202</v>
      </c>
      <c r="Y74" s="109">
        <v>820</v>
      </c>
      <c r="Z74" s="109" t="s">
        <v>199</v>
      </c>
      <c r="AA74" s="109" t="s">
        <v>17</v>
      </c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</row>
    <row r="75" spans="1:40" ht="12.75" x14ac:dyDescent="0.2">
      <c r="A75" s="109"/>
      <c r="B75" s="115" t="s">
        <v>203</v>
      </c>
      <c r="C75" s="104"/>
      <c r="D75" s="104"/>
      <c r="E75" s="104"/>
      <c r="F75" s="104"/>
      <c r="G75" s="104"/>
      <c r="H75" s="105"/>
      <c r="I75" s="104"/>
      <c r="J75" s="104"/>
      <c r="K75" s="104"/>
      <c r="L75" s="104"/>
      <c r="M75" s="111"/>
      <c r="N75" s="106"/>
      <c r="O75" s="105"/>
      <c r="P75" s="104"/>
      <c r="Q75" s="104"/>
      <c r="R75" s="112"/>
      <c r="S75" s="112"/>
      <c r="T75" s="112"/>
      <c r="U75" s="112"/>
      <c r="V75" s="112"/>
      <c r="W75" s="112"/>
      <c r="X75" s="113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</row>
    <row r="76" spans="1:40" ht="12.75" x14ac:dyDescent="0.2">
      <c r="A76" s="109"/>
      <c r="B76" s="115"/>
      <c r="C76" s="116">
        <f t="shared" ref="C76:L76" si="8">SUM(C72:C75)</f>
        <v>0</v>
      </c>
      <c r="D76" s="116">
        <f t="shared" si="8"/>
        <v>0</v>
      </c>
      <c r="E76" s="116">
        <f t="shared" si="8"/>
        <v>0</v>
      </c>
      <c r="F76" s="116">
        <f t="shared" si="8"/>
        <v>0</v>
      </c>
      <c r="G76" s="116">
        <f t="shared" si="8"/>
        <v>3125</v>
      </c>
      <c r="H76" s="116">
        <f t="shared" si="8"/>
        <v>0</v>
      </c>
      <c r="I76" s="149">
        <f t="shared" si="8"/>
        <v>0</v>
      </c>
      <c r="J76" s="116">
        <f t="shared" si="8"/>
        <v>0</v>
      </c>
      <c r="K76" s="116">
        <f t="shared" si="8"/>
        <v>0</v>
      </c>
      <c r="L76" s="116">
        <f t="shared" si="8"/>
        <v>0</v>
      </c>
      <c r="M76" s="119"/>
      <c r="N76" s="138">
        <f t="shared" ref="N76:O76" si="9">SUM(N72:N75)</f>
        <v>3257</v>
      </c>
      <c r="O76" s="118">
        <f t="shared" si="9"/>
        <v>0</v>
      </c>
      <c r="P76" s="104">
        <f>G76-N76</f>
        <v>-132</v>
      </c>
      <c r="Q76" s="104"/>
      <c r="R76" s="112"/>
      <c r="S76" s="112"/>
      <c r="T76" s="112"/>
      <c r="U76" s="112"/>
      <c r="V76" s="112"/>
      <c r="W76" s="112"/>
      <c r="X76" s="113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</row>
    <row r="77" spans="1:40" ht="12.75" x14ac:dyDescent="0.2">
      <c r="A77" s="139" t="s">
        <v>31</v>
      </c>
      <c r="B77" s="115"/>
      <c r="C77" s="103"/>
      <c r="D77" s="103"/>
      <c r="E77" s="104"/>
      <c r="F77" s="104"/>
      <c r="G77" s="104"/>
      <c r="H77" s="105"/>
      <c r="I77" s="104"/>
      <c r="J77" s="104"/>
      <c r="K77" s="104"/>
      <c r="L77" s="104"/>
      <c r="M77" s="104"/>
      <c r="N77" s="106"/>
      <c r="O77" s="105"/>
      <c r="P77" s="104"/>
      <c r="Q77" s="104"/>
      <c r="R77" s="107"/>
      <c r="S77" s="107"/>
      <c r="T77" s="107"/>
      <c r="U77" s="107"/>
      <c r="V77" s="107"/>
      <c r="W77" s="107"/>
      <c r="X77" s="108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</row>
    <row r="78" spans="1:40" ht="12.75" x14ac:dyDescent="0.2">
      <c r="A78" s="109"/>
      <c r="B78" s="110" t="s">
        <v>204</v>
      </c>
      <c r="C78" s="104"/>
      <c r="D78" s="104"/>
      <c r="E78" s="104"/>
      <c r="F78" s="104"/>
      <c r="G78" s="104"/>
      <c r="H78" s="105"/>
      <c r="I78" s="104"/>
      <c r="J78" s="104"/>
      <c r="K78" s="104"/>
      <c r="L78" s="104"/>
      <c r="M78" s="111"/>
      <c r="N78" s="106">
        <v>100</v>
      </c>
      <c r="O78" s="105"/>
      <c r="P78" s="104"/>
      <c r="Q78" s="104"/>
      <c r="R78" s="112"/>
      <c r="S78" s="112"/>
      <c r="T78" s="112"/>
      <c r="U78" s="112" t="s">
        <v>104</v>
      </c>
      <c r="V78" s="112"/>
      <c r="W78" s="112" t="s">
        <v>108</v>
      </c>
      <c r="X78" s="113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</row>
    <row r="79" spans="1:40" ht="12.75" x14ac:dyDescent="0.2">
      <c r="A79" s="109"/>
      <c r="B79" s="110" t="s">
        <v>205</v>
      </c>
      <c r="C79" s="104"/>
      <c r="D79" s="104"/>
      <c r="E79" s="104"/>
      <c r="F79" s="104"/>
      <c r="G79" s="104"/>
      <c r="H79" s="105"/>
      <c r="I79" s="104"/>
      <c r="J79" s="104"/>
      <c r="K79" s="104"/>
      <c r="L79" s="104"/>
      <c r="M79" s="111"/>
      <c r="N79" s="106">
        <v>100</v>
      </c>
      <c r="O79" s="105"/>
      <c r="P79" s="104"/>
      <c r="Q79" s="104"/>
      <c r="R79" s="112"/>
      <c r="S79" s="112"/>
      <c r="T79" s="112"/>
      <c r="U79" s="112" t="s">
        <v>104</v>
      </c>
      <c r="V79" s="112"/>
      <c r="W79" s="112" t="s">
        <v>108</v>
      </c>
      <c r="X79" s="113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</row>
    <row r="80" spans="1:40" ht="12.75" x14ac:dyDescent="0.2">
      <c r="A80" s="109"/>
      <c r="B80" s="110" t="s">
        <v>206</v>
      </c>
      <c r="C80" s="104"/>
      <c r="D80" s="104"/>
      <c r="E80" s="104"/>
      <c r="F80" s="104"/>
      <c r="G80" s="104"/>
      <c r="H80" s="105"/>
      <c r="I80" s="104"/>
      <c r="J80" s="104"/>
      <c r="K80" s="104"/>
      <c r="L80" s="104"/>
      <c r="M80" s="111"/>
      <c r="N80" s="106">
        <v>50</v>
      </c>
      <c r="O80" s="105"/>
      <c r="P80" s="104"/>
      <c r="Q80" s="104"/>
      <c r="R80" s="112"/>
      <c r="S80" s="112"/>
      <c r="T80" s="112"/>
      <c r="U80" s="112" t="s">
        <v>104</v>
      </c>
      <c r="V80" s="112"/>
      <c r="W80" s="112" t="s">
        <v>108</v>
      </c>
      <c r="X80" s="113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</row>
    <row r="81" spans="1:40" ht="12.75" x14ac:dyDescent="0.2">
      <c r="A81" s="109"/>
      <c r="B81" s="110" t="s">
        <v>207</v>
      </c>
      <c r="C81" s="104"/>
      <c r="D81" s="104"/>
      <c r="E81" s="104"/>
      <c r="F81" s="104"/>
      <c r="G81" s="104"/>
      <c r="H81" s="105"/>
      <c r="I81" s="104"/>
      <c r="J81" s="104"/>
      <c r="K81" s="104"/>
      <c r="L81" s="104"/>
      <c r="M81" s="111"/>
      <c r="N81" s="106">
        <v>850</v>
      </c>
      <c r="O81" s="105"/>
      <c r="P81" s="104"/>
      <c r="Q81" s="104"/>
      <c r="R81" s="112"/>
      <c r="S81" s="112"/>
      <c r="T81" s="112"/>
      <c r="U81" s="112" t="s">
        <v>104</v>
      </c>
      <c r="V81" s="112"/>
      <c r="W81" s="112" t="s">
        <v>108</v>
      </c>
      <c r="X81" s="113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</row>
    <row r="82" spans="1:40" ht="12.75" x14ac:dyDescent="0.2">
      <c r="A82" s="109"/>
      <c r="B82" s="110" t="s">
        <v>208</v>
      </c>
      <c r="C82" s="135"/>
      <c r="D82" s="135"/>
      <c r="E82" s="104"/>
      <c r="F82" s="104"/>
      <c r="G82" s="104"/>
      <c r="H82" s="105"/>
      <c r="I82" s="104"/>
      <c r="J82" s="104"/>
      <c r="K82" s="104"/>
      <c r="L82" s="104"/>
      <c r="M82" s="111"/>
      <c r="N82" s="150">
        <v>396</v>
      </c>
      <c r="O82" s="105"/>
      <c r="P82" s="104"/>
      <c r="Q82" s="104"/>
      <c r="R82" s="112"/>
      <c r="S82" s="112"/>
      <c r="T82" s="112"/>
      <c r="U82" s="112"/>
      <c r="V82" s="112"/>
      <c r="W82" s="112"/>
      <c r="X82" s="113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</row>
    <row r="83" spans="1:40" ht="12.75" x14ac:dyDescent="0.2">
      <c r="A83" s="109"/>
      <c r="B83" s="115" t="s">
        <v>209</v>
      </c>
      <c r="C83" s="104"/>
      <c r="D83" s="104"/>
      <c r="E83" s="104"/>
      <c r="F83" s="104"/>
      <c r="G83" s="104"/>
      <c r="H83" s="105"/>
      <c r="I83" s="104"/>
      <c r="J83" s="104"/>
      <c r="K83" s="104"/>
      <c r="L83" s="104"/>
      <c r="M83" s="111"/>
      <c r="N83" s="106">
        <v>0</v>
      </c>
      <c r="O83" s="105"/>
      <c r="P83" s="104"/>
      <c r="Q83" s="104"/>
      <c r="R83" s="112"/>
      <c r="S83" s="112"/>
      <c r="T83" s="112"/>
      <c r="U83" s="112" t="s">
        <v>104</v>
      </c>
      <c r="V83" s="112"/>
      <c r="W83" s="112" t="s">
        <v>108</v>
      </c>
      <c r="X83" s="113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</row>
    <row r="84" spans="1:40" ht="12.75" x14ac:dyDescent="0.2">
      <c r="A84" s="109"/>
      <c r="B84" s="110" t="s">
        <v>210</v>
      </c>
      <c r="C84" s="104"/>
      <c r="D84" s="104"/>
      <c r="E84" s="104"/>
      <c r="F84" s="104"/>
      <c r="G84" s="104"/>
      <c r="H84" s="105"/>
      <c r="I84" s="104"/>
      <c r="J84" s="104"/>
      <c r="K84" s="104"/>
      <c r="L84" s="104"/>
      <c r="M84" s="111"/>
      <c r="N84" s="106">
        <v>0</v>
      </c>
      <c r="O84" s="105"/>
      <c r="P84" s="104"/>
      <c r="Q84" s="104"/>
      <c r="R84" s="112"/>
      <c r="S84" s="112"/>
      <c r="T84" s="112"/>
      <c r="U84" s="112" t="s">
        <v>104</v>
      </c>
      <c r="V84" s="112"/>
      <c r="W84" s="112" t="s">
        <v>108</v>
      </c>
      <c r="X84" s="113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</row>
    <row r="85" spans="1:40" ht="12.75" x14ac:dyDescent="0.2">
      <c r="A85" s="109"/>
      <c r="B85" s="115"/>
      <c r="C85" s="116">
        <f t="shared" ref="C85:L85" si="10">SUM(C78:C84)</f>
        <v>0</v>
      </c>
      <c r="D85" s="116">
        <f t="shared" si="10"/>
        <v>0</v>
      </c>
      <c r="E85" s="116">
        <f t="shared" si="10"/>
        <v>0</v>
      </c>
      <c r="F85" s="116">
        <f t="shared" si="10"/>
        <v>0</v>
      </c>
      <c r="G85" s="116">
        <f t="shared" si="10"/>
        <v>0</v>
      </c>
      <c r="H85" s="118">
        <f t="shared" si="10"/>
        <v>0</v>
      </c>
      <c r="I85" s="116">
        <f t="shared" si="10"/>
        <v>0</v>
      </c>
      <c r="J85" s="116">
        <f t="shared" si="10"/>
        <v>0</v>
      </c>
      <c r="K85" s="116">
        <f t="shared" si="10"/>
        <v>0</v>
      </c>
      <c r="L85" s="116">
        <f t="shared" si="10"/>
        <v>0</v>
      </c>
      <c r="M85" s="119"/>
      <c r="N85" s="138">
        <f t="shared" ref="N85:O85" si="11">SUM(N78:N84)</f>
        <v>1496</v>
      </c>
      <c r="O85" s="118">
        <f t="shared" si="11"/>
        <v>0</v>
      </c>
      <c r="P85" s="148">
        <f>G85-N85</f>
        <v>-1496</v>
      </c>
      <c r="Q85" s="104"/>
      <c r="R85" s="112"/>
      <c r="S85" s="112"/>
      <c r="T85" s="112"/>
      <c r="U85" s="112"/>
      <c r="V85" s="112"/>
      <c r="W85" s="112"/>
      <c r="X85" s="113"/>
      <c r="Y85" s="109"/>
      <c r="Z85" s="109"/>
      <c r="AA85" s="109" t="s">
        <v>31</v>
      </c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</row>
    <row r="86" spans="1:40" ht="12.75" x14ac:dyDescent="0.2">
      <c r="A86" s="101" t="s">
        <v>211</v>
      </c>
      <c r="B86" s="102"/>
      <c r="C86" s="103"/>
      <c r="D86" s="103"/>
      <c r="E86" s="104"/>
      <c r="F86" s="104"/>
      <c r="G86" s="104"/>
      <c r="H86" s="105"/>
      <c r="I86" s="104"/>
      <c r="J86" s="104"/>
      <c r="K86" s="104"/>
      <c r="L86" s="104"/>
      <c r="M86" s="104"/>
      <c r="N86" s="151"/>
      <c r="O86" s="105"/>
      <c r="P86" s="104"/>
      <c r="Q86" s="104"/>
      <c r="R86" s="107"/>
      <c r="S86" s="107"/>
      <c r="T86" s="107"/>
      <c r="U86" s="107"/>
      <c r="V86" s="107"/>
      <c r="W86" s="107"/>
      <c r="X86" s="108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</row>
    <row r="87" spans="1:40" ht="12.75" x14ac:dyDescent="0.2">
      <c r="A87" s="109"/>
      <c r="B87" s="115" t="s">
        <v>212</v>
      </c>
      <c r="C87" s="104"/>
      <c r="D87" s="104"/>
      <c r="E87" s="104"/>
      <c r="F87" s="104"/>
      <c r="G87" s="104"/>
      <c r="H87" s="105"/>
      <c r="I87" s="104"/>
      <c r="J87" s="104"/>
      <c r="K87" s="104"/>
      <c r="L87" s="104"/>
      <c r="M87" s="111"/>
      <c r="N87" s="106">
        <v>100</v>
      </c>
      <c r="O87" s="105"/>
      <c r="P87" s="104"/>
      <c r="Q87" s="104"/>
      <c r="R87" s="134"/>
      <c r="S87" s="112"/>
      <c r="T87" s="112"/>
      <c r="U87" s="112"/>
      <c r="V87" s="112"/>
      <c r="W87" s="112"/>
      <c r="X87" s="113" t="s">
        <v>213</v>
      </c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</row>
    <row r="88" spans="1:40" ht="12.75" x14ac:dyDescent="0.2">
      <c r="A88" s="143"/>
      <c r="B88" s="115" t="s">
        <v>214</v>
      </c>
      <c r="C88" s="104"/>
      <c r="D88" s="104"/>
      <c r="E88" s="104"/>
      <c r="F88" s="104"/>
      <c r="G88" s="104"/>
      <c r="H88" s="105"/>
      <c r="I88" s="104"/>
      <c r="J88" s="104"/>
      <c r="K88" s="104"/>
      <c r="L88" s="104"/>
      <c r="M88" s="111"/>
      <c r="N88" s="106">
        <v>100</v>
      </c>
      <c r="O88" s="105"/>
      <c r="P88" s="104"/>
      <c r="Q88" s="104"/>
      <c r="R88" s="112"/>
      <c r="S88" s="112"/>
      <c r="T88" s="112"/>
      <c r="U88" s="112"/>
      <c r="V88" s="112"/>
      <c r="W88" s="112"/>
      <c r="X88" s="113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</row>
    <row r="89" spans="1:40" ht="12.75" x14ac:dyDescent="0.2">
      <c r="A89" s="143"/>
      <c r="B89" s="110" t="s">
        <v>215</v>
      </c>
      <c r="C89" s="104"/>
      <c r="D89" s="104"/>
      <c r="E89" s="104"/>
      <c r="F89" s="104"/>
      <c r="G89" s="104"/>
      <c r="H89" s="105"/>
      <c r="I89" s="104"/>
      <c r="J89" s="104"/>
      <c r="K89" s="104"/>
      <c r="L89" s="104"/>
      <c r="M89" s="111"/>
      <c r="N89" s="106"/>
      <c r="O89" s="105"/>
      <c r="P89" s="104"/>
      <c r="Q89" s="104"/>
      <c r="R89" s="112" t="s">
        <v>156</v>
      </c>
      <c r="S89" s="112"/>
      <c r="T89" s="112"/>
      <c r="U89" s="112"/>
      <c r="V89" s="112"/>
      <c r="W89" s="112"/>
      <c r="X89" s="113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</row>
    <row r="90" spans="1:40" ht="12.75" x14ac:dyDescent="0.2">
      <c r="A90" s="143"/>
      <c r="B90" s="115" t="s">
        <v>216</v>
      </c>
      <c r="C90" s="104"/>
      <c r="D90" s="104"/>
      <c r="E90" s="104"/>
      <c r="F90" s="104"/>
      <c r="G90" s="104"/>
      <c r="H90" s="105"/>
      <c r="I90" s="104"/>
      <c r="J90" s="104"/>
      <c r="K90" s="104"/>
      <c r="L90" s="104"/>
      <c r="M90" s="111"/>
      <c r="N90" s="106"/>
      <c r="O90" s="105"/>
      <c r="P90" s="104"/>
      <c r="Q90" s="104"/>
      <c r="R90" s="112"/>
      <c r="S90" s="112"/>
      <c r="T90" s="112"/>
      <c r="U90" s="112"/>
      <c r="V90" s="112"/>
      <c r="W90" s="112"/>
      <c r="X90" s="113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</row>
    <row r="91" spans="1:40" ht="12.75" x14ac:dyDescent="0.2">
      <c r="A91" s="143"/>
      <c r="B91" s="115" t="s">
        <v>217</v>
      </c>
      <c r="C91" s="104"/>
      <c r="D91" s="104"/>
      <c r="E91" s="104"/>
      <c r="F91" s="104"/>
      <c r="G91" s="104"/>
      <c r="H91" s="105"/>
      <c r="I91" s="104"/>
      <c r="J91" s="104"/>
      <c r="K91" s="104"/>
      <c r="L91" s="104"/>
      <c r="M91" s="111"/>
      <c r="N91" s="106">
        <v>1000</v>
      </c>
      <c r="O91" s="105"/>
      <c r="P91" s="152">
        <v>0.05</v>
      </c>
      <c r="Q91" s="104"/>
      <c r="R91" s="112" t="s">
        <v>218</v>
      </c>
      <c r="S91" s="112"/>
      <c r="T91" s="112"/>
      <c r="U91" s="112"/>
      <c r="V91" s="112"/>
      <c r="W91" s="112"/>
      <c r="X91" s="113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</row>
    <row r="92" spans="1:40" ht="12.75" x14ac:dyDescent="0.2">
      <c r="A92" s="109"/>
      <c r="B92" s="115"/>
      <c r="C92" s="116">
        <f t="shared" ref="C92:L92" si="12">SUM(C87:C91)</f>
        <v>0</v>
      </c>
      <c r="D92" s="116">
        <f t="shared" si="12"/>
        <v>0</v>
      </c>
      <c r="E92" s="116">
        <f t="shared" si="12"/>
        <v>0</v>
      </c>
      <c r="F92" s="116">
        <f t="shared" si="12"/>
        <v>0</v>
      </c>
      <c r="G92" s="116">
        <f t="shared" si="12"/>
        <v>0</v>
      </c>
      <c r="H92" s="118">
        <f t="shared" si="12"/>
        <v>0</v>
      </c>
      <c r="I92" s="116">
        <f t="shared" si="12"/>
        <v>0</v>
      </c>
      <c r="J92" s="116">
        <f t="shared" si="12"/>
        <v>0</v>
      </c>
      <c r="K92" s="116">
        <f t="shared" si="12"/>
        <v>0</v>
      </c>
      <c r="L92" s="116">
        <f t="shared" si="12"/>
        <v>0</v>
      </c>
      <c r="M92" s="119"/>
      <c r="N92" s="138">
        <f t="shared" ref="N92:O92" si="13">SUM(N87:N91)</f>
        <v>1200</v>
      </c>
      <c r="O92" s="118">
        <f t="shared" si="13"/>
        <v>0</v>
      </c>
      <c r="P92" s="148">
        <f>G92-N92</f>
        <v>-1200</v>
      </c>
      <c r="Q92" s="104"/>
      <c r="R92" s="112"/>
      <c r="S92" s="112"/>
      <c r="T92" s="112"/>
      <c r="U92" s="112"/>
      <c r="V92" s="112"/>
      <c r="W92" s="112"/>
      <c r="X92" s="113"/>
      <c r="Y92" s="109"/>
      <c r="Z92" s="109"/>
      <c r="AA92" s="109" t="s">
        <v>219</v>
      </c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</row>
    <row r="93" spans="1:40" ht="12.75" x14ac:dyDescent="0.2">
      <c r="A93" s="143" t="s">
        <v>10</v>
      </c>
      <c r="B93" s="115"/>
      <c r="C93" s="103"/>
      <c r="D93" s="103"/>
      <c r="E93" s="104"/>
      <c r="F93" s="104"/>
      <c r="G93" s="104"/>
      <c r="H93" s="105"/>
      <c r="I93" s="104"/>
      <c r="J93" s="104"/>
      <c r="K93" s="104"/>
      <c r="L93" s="104"/>
      <c r="M93" s="104"/>
      <c r="N93" s="106"/>
      <c r="O93" s="105"/>
      <c r="P93" s="104"/>
      <c r="Q93" s="104"/>
      <c r="R93" s="107"/>
      <c r="S93" s="107"/>
      <c r="T93" s="107"/>
      <c r="U93" s="107"/>
      <c r="V93" s="107"/>
      <c r="W93" s="107"/>
      <c r="X93" s="108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</row>
    <row r="94" spans="1:40" ht="12.75" x14ac:dyDescent="0.2">
      <c r="A94" s="109"/>
      <c r="B94" s="115" t="s">
        <v>220</v>
      </c>
      <c r="C94" s="104"/>
      <c r="D94" s="104"/>
      <c r="E94" s="104"/>
      <c r="F94" s="104"/>
      <c r="G94" s="104"/>
      <c r="H94" s="105"/>
      <c r="I94" s="104"/>
      <c r="J94" s="104"/>
      <c r="K94" s="104"/>
      <c r="L94" s="104"/>
      <c r="M94" s="111"/>
      <c r="N94" s="106"/>
      <c r="O94" s="105"/>
      <c r="P94" s="104"/>
      <c r="Q94" s="104"/>
      <c r="R94" s="112"/>
      <c r="S94" s="112"/>
      <c r="T94" s="112"/>
      <c r="U94" s="112" t="s">
        <v>104</v>
      </c>
      <c r="V94" s="112"/>
      <c r="W94" s="112"/>
      <c r="X94" s="113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</row>
    <row r="95" spans="1:40" ht="12.75" x14ac:dyDescent="0.2">
      <c r="A95" s="109"/>
      <c r="B95" s="115" t="s">
        <v>221</v>
      </c>
      <c r="C95" s="104"/>
      <c r="D95" s="104"/>
      <c r="E95" s="104"/>
      <c r="F95" s="104"/>
      <c r="G95" s="104"/>
      <c r="H95" s="105"/>
      <c r="I95" s="104"/>
      <c r="J95" s="104"/>
      <c r="K95" s="104"/>
      <c r="L95" s="104"/>
      <c r="M95" s="111"/>
      <c r="N95" s="106"/>
      <c r="O95" s="105"/>
      <c r="P95" s="104"/>
      <c r="Q95" s="104"/>
      <c r="R95" s="112"/>
      <c r="S95" s="112"/>
      <c r="T95" s="112"/>
      <c r="U95" s="112" t="s">
        <v>104</v>
      </c>
      <c r="V95" s="112"/>
      <c r="W95" s="112"/>
      <c r="X95" s="113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</row>
    <row r="96" spans="1:40" ht="12.75" x14ac:dyDescent="0.2">
      <c r="A96" s="109"/>
      <c r="B96" s="115"/>
      <c r="C96" s="116">
        <f t="shared" ref="C96:L96" si="14">SUM(C94:C95)</f>
        <v>0</v>
      </c>
      <c r="D96" s="116">
        <f t="shared" si="14"/>
        <v>0</v>
      </c>
      <c r="E96" s="116">
        <f t="shared" si="14"/>
        <v>0</v>
      </c>
      <c r="F96" s="116">
        <f t="shared" si="14"/>
        <v>0</v>
      </c>
      <c r="G96" s="116">
        <f t="shared" si="14"/>
        <v>0</v>
      </c>
      <c r="H96" s="118">
        <f t="shared" si="14"/>
        <v>0</v>
      </c>
      <c r="I96" s="116">
        <f t="shared" si="14"/>
        <v>0</v>
      </c>
      <c r="J96" s="116">
        <f t="shared" si="14"/>
        <v>0</v>
      </c>
      <c r="K96" s="116">
        <f t="shared" si="14"/>
        <v>0</v>
      </c>
      <c r="L96" s="116">
        <f t="shared" si="14"/>
        <v>0</v>
      </c>
      <c r="M96" s="119"/>
      <c r="N96" s="138">
        <f t="shared" ref="N96:O96" si="15">SUM(N94:N95)</f>
        <v>0</v>
      </c>
      <c r="O96" s="118">
        <f t="shared" si="15"/>
        <v>0</v>
      </c>
      <c r="P96" s="104">
        <f>G96-N96</f>
        <v>0</v>
      </c>
      <c r="Q96" s="104"/>
      <c r="R96" s="112"/>
      <c r="S96" s="112"/>
      <c r="T96" s="112"/>
      <c r="U96" s="112"/>
      <c r="V96" s="112"/>
      <c r="W96" s="112"/>
      <c r="X96" s="113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</row>
    <row r="97" spans="1:40" ht="12.75" x14ac:dyDescent="0.2">
      <c r="A97" s="143" t="s">
        <v>222</v>
      </c>
      <c r="B97" s="115"/>
      <c r="C97" s="103"/>
      <c r="D97" s="103"/>
      <c r="E97" s="104"/>
      <c r="F97" s="104"/>
      <c r="G97" s="104"/>
      <c r="H97" s="105"/>
      <c r="I97" s="104"/>
      <c r="J97" s="104"/>
      <c r="K97" s="104"/>
      <c r="L97" s="104"/>
      <c r="M97" s="104"/>
      <c r="N97" s="106"/>
      <c r="O97" s="105"/>
      <c r="P97" s="104"/>
      <c r="Q97" s="104"/>
      <c r="R97" s="107"/>
      <c r="S97" s="107"/>
      <c r="T97" s="107"/>
      <c r="U97" s="107"/>
      <c r="V97" s="107"/>
      <c r="W97" s="107" t="s">
        <v>108</v>
      </c>
      <c r="X97" s="108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</row>
    <row r="98" spans="1:40" ht="12.75" x14ac:dyDescent="0.2">
      <c r="A98" s="109"/>
      <c r="B98" s="115" t="s">
        <v>223</v>
      </c>
      <c r="C98" s="104"/>
      <c r="D98" s="104"/>
      <c r="E98" s="104"/>
      <c r="F98" s="104"/>
      <c r="G98" s="148">
        <v>18000</v>
      </c>
      <c r="H98" s="105"/>
      <c r="I98" s="104"/>
      <c r="J98" s="104"/>
      <c r="K98" s="104"/>
      <c r="L98" s="104"/>
      <c r="M98" s="111"/>
      <c r="N98" s="106"/>
      <c r="O98" s="105"/>
      <c r="P98" s="104"/>
      <c r="Q98" s="104"/>
      <c r="R98" s="112"/>
      <c r="S98" s="112"/>
      <c r="T98" s="112"/>
      <c r="U98" s="112" t="s">
        <v>104</v>
      </c>
      <c r="V98" s="112"/>
      <c r="W98" s="112" t="s">
        <v>108</v>
      </c>
      <c r="X98" s="113"/>
      <c r="Y98" s="109"/>
      <c r="Z98" s="109"/>
      <c r="AA98" s="109" t="s">
        <v>8</v>
      </c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</row>
    <row r="99" spans="1:40" ht="12.75" x14ac:dyDescent="0.2">
      <c r="A99" s="109"/>
      <c r="B99" s="115" t="s">
        <v>224</v>
      </c>
      <c r="C99" s="104"/>
      <c r="D99" s="104"/>
      <c r="E99" s="104"/>
      <c r="F99" s="104"/>
      <c r="G99" s="148">
        <v>1300</v>
      </c>
      <c r="H99" s="105"/>
      <c r="I99" s="104"/>
      <c r="J99" s="104"/>
      <c r="K99" s="104"/>
      <c r="L99" s="104"/>
      <c r="M99" s="111"/>
      <c r="N99" s="106"/>
      <c r="O99" s="105"/>
      <c r="P99" s="104"/>
      <c r="Q99" s="104"/>
      <c r="R99" s="112"/>
      <c r="S99" s="112"/>
      <c r="T99" s="112"/>
      <c r="U99" s="112" t="s">
        <v>104</v>
      </c>
      <c r="V99" s="112"/>
      <c r="W99" s="112" t="s">
        <v>108</v>
      </c>
      <c r="X99" s="113"/>
      <c r="Y99" s="109"/>
      <c r="Z99" s="109"/>
      <c r="AA99" s="109" t="s">
        <v>8</v>
      </c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</row>
    <row r="100" spans="1:40" ht="12.75" x14ac:dyDescent="0.2">
      <c r="A100" s="109"/>
      <c r="B100" s="115" t="s">
        <v>225</v>
      </c>
      <c r="C100" s="104"/>
      <c r="D100" s="104"/>
      <c r="E100" s="104"/>
      <c r="F100" s="104"/>
      <c r="G100" s="104"/>
      <c r="H100" s="105"/>
      <c r="I100" s="104"/>
      <c r="J100" s="104"/>
      <c r="K100" s="104"/>
      <c r="L100" s="104"/>
      <c r="M100" s="111"/>
      <c r="N100" s="127">
        <f>(G98+G99)*0.85-N102-500</f>
        <v>15405</v>
      </c>
      <c r="O100" s="105"/>
      <c r="P100" s="104"/>
      <c r="Q100" s="104"/>
      <c r="R100" s="112"/>
      <c r="S100" s="112"/>
      <c r="T100" s="112"/>
      <c r="U100" s="112" t="s">
        <v>104</v>
      </c>
      <c r="V100" s="112"/>
      <c r="W100" s="112" t="s">
        <v>108</v>
      </c>
      <c r="X100" s="113" t="s">
        <v>226</v>
      </c>
      <c r="Y100" s="109"/>
      <c r="Z100" s="109"/>
      <c r="AA100" s="109" t="s">
        <v>8</v>
      </c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</row>
    <row r="101" spans="1:40" ht="12.75" x14ac:dyDescent="0.2">
      <c r="A101" s="109"/>
      <c r="B101" s="115" t="s">
        <v>170</v>
      </c>
      <c r="C101" s="104"/>
      <c r="D101" s="104"/>
      <c r="E101" s="104"/>
      <c r="F101" s="104"/>
      <c r="G101" s="104"/>
      <c r="H101" s="105"/>
      <c r="I101" s="104"/>
      <c r="J101" s="104"/>
      <c r="K101" s="104"/>
      <c r="L101" s="104"/>
      <c r="M101" s="111"/>
      <c r="N101" s="106"/>
      <c r="O101" s="105"/>
      <c r="P101" s="104"/>
      <c r="Q101" s="104"/>
      <c r="R101" s="112" t="s">
        <v>227</v>
      </c>
      <c r="S101" s="112"/>
      <c r="T101" s="112"/>
      <c r="U101" s="112" t="s">
        <v>104</v>
      </c>
      <c r="V101" s="112"/>
      <c r="W101" s="112" t="s">
        <v>108</v>
      </c>
      <c r="X101" s="113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</row>
    <row r="102" spans="1:40" ht="12.75" x14ac:dyDescent="0.2">
      <c r="A102" s="109"/>
      <c r="B102" s="115" t="s">
        <v>228</v>
      </c>
      <c r="C102" s="104"/>
      <c r="D102" s="104"/>
      <c r="E102" s="104"/>
      <c r="F102" s="104"/>
      <c r="G102" s="104"/>
      <c r="H102" s="105"/>
      <c r="I102" s="104"/>
      <c r="J102" s="104"/>
      <c r="K102" s="104"/>
      <c r="L102" s="104"/>
      <c r="M102" s="111"/>
      <c r="N102" s="127">
        <v>500</v>
      </c>
      <c r="O102" s="105"/>
      <c r="P102" s="104"/>
      <c r="Q102" s="104"/>
      <c r="R102" s="112"/>
      <c r="S102" s="112"/>
      <c r="T102" s="112"/>
      <c r="U102" s="112" t="s">
        <v>104</v>
      </c>
      <c r="V102" s="112"/>
      <c r="W102" s="112" t="s">
        <v>108</v>
      </c>
      <c r="X102" s="113"/>
      <c r="Y102" s="109"/>
      <c r="Z102" s="109"/>
      <c r="AA102" s="109" t="s">
        <v>8</v>
      </c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</row>
    <row r="103" spans="1:40" ht="12.75" x14ac:dyDescent="0.2">
      <c r="A103" s="109"/>
      <c r="B103" s="115"/>
      <c r="C103" s="116">
        <f t="shared" ref="C103:L103" si="16">SUM(C98:C102)</f>
        <v>0</v>
      </c>
      <c r="D103" s="116">
        <f t="shared" si="16"/>
        <v>0</v>
      </c>
      <c r="E103" s="116">
        <f t="shared" si="16"/>
        <v>0</v>
      </c>
      <c r="F103" s="116">
        <f t="shared" si="16"/>
        <v>0</v>
      </c>
      <c r="G103" s="116">
        <f t="shared" si="16"/>
        <v>19300</v>
      </c>
      <c r="H103" s="118">
        <f t="shared" si="16"/>
        <v>0</v>
      </c>
      <c r="I103" s="116">
        <f t="shared" si="16"/>
        <v>0</v>
      </c>
      <c r="J103" s="116">
        <f t="shared" si="16"/>
        <v>0</v>
      </c>
      <c r="K103" s="116">
        <f t="shared" si="16"/>
        <v>0</v>
      </c>
      <c r="L103" s="116">
        <f t="shared" si="16"/>
        <v>0</v>
      </c>
      <c r="M103" s="119"/>
      <c r="N103" s="138">
        <f t="shared" ref="N103:O103" si="17">SUM(N98:N102)</f>
        <v>15905</v>
      </c>
      <c r="O103" s="118">
        <f t="shared" si="17"/>
        <v>0</v>
      </c>
      <c r="P103" s="104">
        <f>G103-N103</f>
        <v>3395</v>
      </c>
      <c r="Q103" s="104"/>
      <c r="R103" s="112"/>
      <c r="S103" s="112"/>
      <c r="T103" s="112"/>
      <c r="U103" s="112"/>
      <c r="V103" s="112"/>
      <c r="W103" s="112"/>
      <c r="X103" s="113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</row>
    <row r="104" spans="1:40" ht="12.75" x14ac:dyDescent="0.2">
      <c r="A104" s="101" t="s">
        <v>19</v>
      </c>
      <c r="B104" s="102"/>
      <c r="C104" s="103"/>
      <c r="D104" s="103"/>
      <c r="E104" s="104"/>
      <c r="F104" s="104"/>
      <c r="G104" s="104"/>
      <c r="H104" s="105"/>
      <c r="I104" s="104"/>
      <c r="J104" s="104"/>
      <c r="K104" s="104"/>
      <c r="L104" s="104"/>
      <c r="M104" s="104"/>
      <c r="N104" s="106"/>
      <c r="O104" s="105"/>
      <c r="P104" s="104"/>
      <c r="Q104" s="104"/>
      <c r="R104" s="107"/>
      <c r="S104" s="107"/>
      <c r="T104" s="107"/>
      <c r="U104" s="107"/>
      <c r="V104" s="107"/>
      <c r="W104" s="107" t="s">
        <v>108</v>
      </c>
      <c r="X104" s="108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</row>
    <row r="105" spans="1:40" ht="12.75" x14ac:dyDescent="0.2">
      <c r="A105" s="109"/>
      <c r="B105" s="115" t="s">
        <v>229</v>
      </c>
      <c r="C105" s="104"/>
      <c r="D105" s="104"/>
      <c r="E105" s="104"/>
      <c r="F105" s="104"/>
      <c r="G105" s="148">
        <v>21150</v>
      </c>
      <c r="H105" s="105"/>
      <c r="I105" s="104"/>
      <c r="J105" s="104"/>
      <c r="K105" s="104"/>
      <c r="L105" s="104"/>
      <c r="M105" s="111"/>
      <c r="N105" s="127">
        <v>19000</v>
      </c>
      <c r="O105" s="105"/>
      <c r="P105" s="104"/>
      <c r="Q105" s="104"/>
      <c r="R105" s="112"/>
      <c r="S105" s="112"/>
      <c r="T105" s="112"/>
      <c r="U105" s="112" t="s">
        <v>104</v>
      </c>
      <c r="V105" s="112"/>
      <c r="W105" s="112" t="s">
        <v>108</v>
      </c>
      <c r="X105" s="113"/>
      <c r="Y105" s="109"/>
      <c r="Z105" s="109"/>
      <c r="AA105" s="109" t="s">
        <v>19</v>
      </c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</row>
    <row r="106" spans="1:40" ht="12.75" x14ac:dyDescent="0.2">
      <c r="A106" s="109"/>
      <c r="B106" s="115"/>
      <c r="C106" s="104"/>
      <c r="D106" s="104"/>
      <c r="E106" s="104"/>
      <c r="F106" s="104"/>
      <c r="G106" s="104"/>
      <c r="H106" s="105"/>
      <c r="I106" s="104"/>
      <c r="J106" s="104"/>
      <c r="K106" s="104"/>
      <c r="L106" s="104"/>
      <c r="M106" s="111"/>
      <c r="N106" s="106"/>
      <c r="O106" s="105"/>
      <c r="P106" s="104"/>
      <c r="Q106" s="104"/>
      <c r="R106" s="112"/>
      <c r="S106" s="112"/>
      <c r="T106" s="112"/>
      <c r="U106" s="112"/>
      <c r="V106" s="112"/>
      <c r="W106" s="112"/>
      <c r="X106" s="113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</row>
    <row r="107" spans="1:40" ht="12.75" x14ac:dyDescent="0.2">
      <c r="A107" s="109"/>
      <c r="B107" s="115"/>
      <c r="C107" s="116">
        <f t="shared" ref="C107:L107" si="18">SUM(C105:C106)</f>
        <v>0</v>
      </c>
      <c r="D107" s="116">
        <f t="shared" si="18"/>
        <v>0</v>
      </c>
      <c r="E107" s="116">
        <f t="shared" si="18"/>
        <v>0</v>
      </c>
      <c r="F107" s="116">
        <f t="shared" si="18"/>
        <v>0</v>
      </c>
      <c r="G107" s="116">
        <f t="shared" si="18"/>
        <v>21150</v>
      </c>
      <c r="H107" s="118">
        <f t="shared" si="18"/>
        <v>0</v>
      </c>
      <c r="I107" s="116">
        <f t="shared" si="18"/>
        <v>0</v>
      </c>
      <c r="J107" s="116">
        <f t="shared" si="18"/>
        <v>0</v>
      </c>
      <c r="K107" s="116">
        <f t="shared" si="18"/>
        <v>0</v>
      </c>
      <c r="L107" s="116">
        <f t="shared" si="18"/>
        <v>0</v>
      </c>
      <c r="M107" s="119"/>
      <c r="N107" s="138">
        <f t="shared" ref="N107:O107" si="19">SUM(N105:N106)</f>
        <v>19000</v>
      </c>
      <c r="O107" s="118">
        <f t="shared" si="19"/>
        <v>0</v>
      </c>
      <c r="P107" s="148">
        <f>G107-N107</f>
        <v>2150</v>
      </c>
      <c r="Q107" s="104"/>
      <c r="R107" s="112"/>
      <c r="S107" s="112"/>
      <c r="T107" s="112"/>
      <c r="U107" s="112"/>
      <c r="V107" s="112"/>
      <c r="W107" s="112"/>
      <c r="X107" s="113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</row>
    <row r="108" spans="1:40" ht="12.75" x14ac:dyDescent="0.2">
      <c r="A108" s="153" t="s">
        <v>230</v>
      </c>
      <c r="B108" s="102"/>
      <c r="C108" s="103"/>
      <c r="D108" s="103"/>
      <c r="E108" s="104"/>
      <c r="F108" s="104"/>
      <c r="G108" s="144">
        <v>4400</v>
      </c>
      <c r="H108" s="105"/>
      <c r="I108" s="104"/>
      <c r="J108" s="104"/>
      <c r="K108" s="104"/>
      <c r="L108" s="104"/>
      <c r="M108" s="104"/>
      <c r="N108" s="106"/>
      <c r="O108" s="105"/>
      <c r="P108" s="104"/>
      <c r="Q108" s="104"/>
      <c r="R108" s="107"/>
      <c r="S108" s="107"/>
      <c r="T108" s="107"/>
      <c r="U108" s="107"/>
      <c r="V108" s="107"/>
      <c r="W108" s="107" t="s">
        <v>108</v>
      </c>
      <c r="X108" s="108"/>
      <c r="Y108" s="109"/>
      <c r="Z108" s="109"/>
      <c r="AA108" s="114" t="s">
        <v>231</v>
      </c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</row>
    <row r="109" spans="1:40" ht="12.75" x14ac:dyDescent="0.2">
      <c r="A109" s="154" t="s">
        <v>232</v>
      </c>
      <c r="B109" s="115"/>
      <c r="C109" s="155"/>
      <c r="D109" s="155"/>
      <c r="E109" s="104"/>
      <c r="F109" s="104"/>
      <c r="G109" s="104"/>
      <c r="H109" s="105"/>
      <c r="I109" s="104"/>
      <c r="J109" s="104"/>
      <c r="K109" s="104"/>
      <c r="L109" s="104"/>
      <c r="M109" s="104"/>
      <c r="N109" s="106"/>
      <c r="O109" s="105"/>
      <c r="P109" s="104"/>
      <c r="Q109" s="104"/>
      <c r="R109" s="156"/>
      <c r="S109" s="156"/>
      <c r="T109" s="156"/>
      <c r="U109" s="156" t="s">
        <v>104</v>
      </c>
      <c r="V109" s="156"/>
      <c r="W109" s="156"/>
      <c r="X109" s="157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</row>
    <row r="110" spans="1:40" ht="12.75" x14ac:dyDescent="0.2">
      <c r="A110" s="143" t="s">
        <v>233</v>
      </c>
      <c r="B110" s="158"/>
      <c r="C110" s="146">
        <f t="shared" ref="C110:D110" si="20">C17+C53+C60+C62+C65+C70+C76+C85+C92+C96+C103+C107+C109</f>
        <v>9500</v>
      </c>
      <c r="D110" s="146">
        <f t="shared" si="20"/>
        <v>11920</v>
      </c>
      <c r="E110" s="146">
        <f t="shared" ref="E110:N110" si="21">E17+E53+E60+E62+E65+E70+E76+E85+E92+E96+E103+E107+E109+E108</f>
        <v>25500</v>
      </c>
      <c r="F110" s="146">
        <f t="shared" si="21"/>
        <v>21250</v>
      </c>
      <c r="G110" s="146">
        <f t="shared" si="21"/>
        <v>87414.040000000008</v>
      </c>
      <c r="H110" s="146">
        <f t="shared" si="21"/>
        <v>0</v>
      </c>
      <c r="I110" s="146">
        <f t="shared" si="21"/>
        <v>0</v>
      </c>
      <c r="J110" s="146">
        <f t="shared" si="21"/>
        <v>0</v>
      </c>
      <c r="K110" s="146">
        <f t="shared" si="21"/>
        <v>6846</v>
      </c>
      <c r="L110" s="146">
        <f t="shared" si="21"/>
        <v>1685</v>
      </c>
      <c r="M110" s="146">
        <f t="shared" si="21"/>
        <v>0</v>
      </c>
      <c r="N110" s="159">
        <f t="shared" si="21"/>
        <v>85595.01</v>
      </c>
      <c r="O110" s="147">
        <f>O17+O53+O60+O62+O15+O70+O76+O85+O92+O96+O103+O107+O109</f>
        <v>0</v>
      </c>
      <c r="P110" s="104"/>
      <c r="Q110" s="104"/>
      <c r="R110" s="112"/>
      <c r="S110" s="112"/>
      <c r="T110" s="112"/>
      <c r="U110" s="112"/>
      <c r="V110" s="112"/>
      <c r="W110" s="112"/>
      <c r="X110" s="113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</row>
    <row r="111" spans="1:40" ht="12.75" x14ac:dyDescent="0.2">
      <c r="A111" s="109" t="s">
        <v>53</v>
      </c>
      <c r="B111" s="160">
        <v>2.5000000000000001E-2</v>
      </c>
      <c r="C111" s="104">
        <v>0</v>
      </c>
      <c r="D111" s="104">
        <v>0</v>
      </c>
      <c r="E111" s="104"/>
      <c r="F111" s="104"/>
      <c r="G111" s="104"/>
      <c r="H111" s="105"/>
      <c r="I111" s="104"/>
      <c r="J111" s="104"/>
      <c r="K111" s="104"/>
      <c r="L111" s="104"/>
      <c r="M111" s="111"/>
      <c r="N111" s="127">
        <f>N110*B111</f>
        <v>2139.8752500000001</v>
      </c>
      <c r="O111" s="105"/>
      <c r="P111" s="104"/>
      <c r="Q111" s="104"/>
      <c r="R111" s="112"/>
      <c r="S111" s="112"/>
      <c r="T111" s="112"/>
      <c r="U111" s="112" t="s">
        <v>132</v>
      </c>
      <c r="V111" s="112"/>
      <c r="W111" s="112"/>
      <c r="X111" s="113"/>
      <c r="Y111" s="109"/>
      <c r="Z111" s="109"/>
      <c r="AA111" s="109" t="s">
        <v>53</v>
      </c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</row>
    <row r="112" spans="1:40" ht="12.75" x14ac:dyDescent="0.2">
      <c r="A112" s="161" t="s">
        <v>234</v>
      </c>
      <c r="B112" s="162">
        <v>2.5000000000000001E-2</v>
      </c>
      <c r="C112" s="163"/>
      <c r="D112" s="163"/>
      <c r="E112" s="163"/>
      <c r="F112" s="163"/>
      <c r="G112" s="163"/>
      <c r="H112" s="164"/>
      <c r="I112" s="163"/>
      <c r="J112" s="163"/>
      <c r="K112" s="163"/>
      <c r="L112" s="163"/>
      <c r="M112" s="165"/>
      <c r="N112" s="166">
        <f>N110*B112</f>
        <v>2139.8752500000001</v>
      </c>
      <c r="O112" s="164"/>
      <c r="P112" s="104"/>
      <c r="Q112" s="104"/>
      <c r="R112" s="112"/>
      <c r="S112" s="112"/>
      <c r="T112" s="112"/>
      <c r="U112" s="112" t="s">
        <v>132</v>
      </c>
      <c r="V112" s="112"/>
      <c r="W112" s="112"/>
      <c r="X112" s="113"/>
      <c r="Y112" s="109"/>
      <c r="Z112" s="109"/>
      <c r="AA112" s="109" t="s">
        <v>228</v>
      </c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</row>
    <row r="113" spans="1:40" ht="12.75" x14ac:dyDescent="0.2">
      <c r="A113" s="143" t="s">
        <v>39</v>
      </c>
      <c r="B113" s="115"/>
      <c r="C113" s="146">
        <f t="shared" ref="C113:L113" si="22">C110+C111+C112</f>
        <v>9500</v>
      </c>
      <c r="D113" s="146">
        <f t="shared" si="22"/>
        <v>11920</v>
      </c>
      <c r="E113" s="146">
        <f t="shared" si="22"/>
        <v>25500</v>
      </c>
      <c r="F113" s="146">
        <f t="shared" si="22"/>
        <v>21250</v>
      </c>
      <c r="G113" s="146">
        <f t="shared" si="22"/>
        <v>87414.040000000008</v>
      </c>
      <c r="H113" s="147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6846</v>
      </c>
      <c r="L113" s="146">
        <f t="shared" si="22"/>
        <v>1685</v>
      </c>
      <c r="M113" s="167"/>
      <c r="N113" s="159">
        <f>N110+N111+N112</f>
        <v>89874.760499999989</v>
      </c>
      <c r="O113" s="147">
        <f t="shared" ref="O113:P113" si="23">O110+O111+O112</f>
        <v>0</v>
      </c>
      <c r="P113" s="146">
        <f>G113-N113</f>
        <v>-2460.7204999999813</v>
      </c>
      <c r="Q113" s="104"/>
      <c r="R113" s="112"/>
      <c r="S113" s="112"/>
      <c r="T113" s="112"/>
      <c r="U113" s="112"/>
      <c r="V113" s="112"/>
      <c r="W113" s="112"/>
      <c r="X113" s="113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</row>
    <row r="114" spans="1:40" ht="12.75" x14ac:dyDescent="0.2">
      <c r="A114" s="109"/>
      <c r="B114" s="115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11"/>
      <c r="N114" s="106"/>
      <c r="O114" s="104" t="s">
        <v>235</v>
      </c>
      <c r="P114" s="104"/>
      <c r="Q114" s="104"/>
      <c r="R114" s="112"/>
      <c r="S114" s="112"/>
      <c r="T114" s="112"/>
      <c r="U114" s="112"/>
      <c r="V114" s="112"/>
      <c r="W114" s="112"/>
      <c r="X114" s="113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</row>
    <row r="115" spans="1:40" ht="12.75" x14ac:dyDescent="0.2">
      <c r="A115" s="143"/>
      <c r="B115" s="115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11"/>
      <c r="N115" s="106"/>
      <c r="O115" s="104"/>
      <c r="P115" s="104"/>
      <c r="Q115" s="104"/>
      <c r="R115" s="112"/>
      <c r="S115" s="112"/>
      <c r="T115" s="112"/>
      <c r="U115" s="112"/>
      <c r="V115" s="112"/>
      <c r="W115" s="112"/>
      <c r="X115" s="113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</row>
    <row r="116" spans="1:40" ht="12.75" x14ac:dyDescent="0.2">
      <c r="A116" s="168"/>
      <c r="B116" s="115"/>
      <c r="C116" s="104"/>
      <c r="D116" s="104"/>
      <c r="E116" s="104"/>
      <c r="F116" s="104"/>
      <c r="G116" s="104"/>
      <c r="H116" s="104"/>
      <c r="I116" s="104"/>
      <c r="J116" s="104"/>
      <c r="K116" s="104"/>
      <c r="L116" s="148" t="s">
        <v>236</v>
      </c>
      <c r="M116" s="126"/>
      <c r="N116" s="127"/>
      <c r="O116" s="104"/>
      <c r="P116" s="104"/>
      <c r="Q116" s="104"/>
      <c r="R116" s="112"/>
      <c r="S116" s="112"/>
      <c r="T116" s="112"/>
      <c r="U116" s="112"/>
      <c r="V116" s="112"/>
      <c r="W116" s="112"/>
      <c r="X116" s="113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</row>
    <row r="117" spans="1:40" ht="12.75" x14ac:dyDescent="0.2">
      <c r="A117" s="169"/>
      <c r="B117" s="170"/>
      <c r="C117" s="104"/>
      <c r="D117" s="104"/>
      <c r="E117" s="104"/>
      <c r="F117" s="104"/>
      <c r="G117" s="104"/>
      <c r="H117" s="104"/>
      <c r="I117" s="104"/>
      <c r="J117" s="104"/>
      <c r="K117" s="104"/>
      <c r="L117" s="144" t="s">
        <v>237</v>
      </c>
      <c r="M117" s="111"/>
      <c r="N117" s="106"/>
      <c r="O117" s="104"/>
      <c r="P117" s="104"/>
      <c r="Q117" s="104"/>
      <c r="R117" s="112"/>
      <c r="S117" s="112"/>
      <c r="T117" s="112"/>
      <c r="U117" s="112"/>
      <c r="V117" s="112"/>
      <c r="W117" s="112"/>
      <c r="X117" s="113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</row>
    <row r="118" spans="1:40" ht="12.75" x14ac:dyDescent="0.2">
      <c r="A118" s="124"/>
      <c r="B118" s="121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11"/>
      <c r="N118" s="106"/>
      <c r="O118" s="104"/>
      <c r="P118" s="104"/>
      <c r="Q118" s="104"/>
      <c r="R118" s="112"/>
      <c r="S118" s="112"/>
      <c r="T118" s="112"/>
      <c r="U118" s="112"/>
      <c r="V118" s="112"/>
      <c r="W118" s="112"/>
      <c r="X118" s="113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</row>
    <row r="119" spans="1:40" ht="12.75" x14ac:dyDescent="0.2">
      <c r="A119" s="169"/>
      <c r="B119" s="121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11"/>
      <c r="N119" s="106"/>
      <c r="O119" s="104"/>
      <c r="P119" s="104"/>
      <c r="Q119" s="104"/>
      <c r="R119" s="112"/>
      <c r="S119" s="112"/>
      <c r="T119" s="112"/>
      <c r="U119" s="112"/>
      <c r="V119" s="112"/>
      <c r="W119" s="112"/>
      <c r="X119" s="113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</row>
    <row r="120" spans="1:40" ht="12.75" x14ac:dyDescent="0.2">
      <c r="A120" s="171"/>
      <c r="B120" s="172"/>
      <c r="C120" s="104"/>
      <c r="D120" s="173" t="s">
        <v>238</v>
      </c>
      <c r="E120" s="104"/>
      <c r="F120" s="104"/>
      <c r="G120" s="104"/>
      <c r="H120" s="104"/>
      <c r="I120" s="104"/>
      <c r="J120" s="104"/>
      <c r="K120" s="104"/>
      <c r="L120" s="104"/>
      <c r="M120" s="111"/>
      <c r="N120" s="106"/>
      <c r="O120" s="104"/>
      <c r="P120" s="104"/>
      <c r="Q120" s="104"/>
      <c r="R120" s="112"/>
      <c r="S120" s="112"/>
      <c r="T120" s="112"/>
      <c r="U120" s="112"/>
      <c r="V120" s="112"/>
      <c r="W120" s="112"/>
      <c r="X120" s="113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</row>
    <row r="121" spans="1:40" ht="12.75" x14ac:dyDescent="0.2">
      <c r="A121" s="171"/>
      <c r="B121" s="172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11"/>
      <c r="N121" s="106"/>
      <c r="O121" s="104"/>
      <c r="P121" s="104"/>
      <c r="Q121" s="104"/>
      <c r="R121" s="112"/>
      <c r="S121" s="112"/>
      <c r="T121" s="112"/>
      <c r="U121" s="112"/>
      <c r="V121" s="112"/>
      <c r="W121" s="112"/>
      <c r="X121" s="113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</row>
    <row r="122" spans="1:40" ht="12.75" x14ac:dyDescent="0.2">
      <c r="A122" s="171"/>
      <c r="B122" s="172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11"/>
      <c r="N122" s="106"/>
      <c r="O122" s="104"/>
      <c r="P122" s="104"/>
      <c r="Q122" s="104"/>
      <c r="R122" s="112"/>
      <c r="S122" s="112"/>
      <c r="T122" s="112"/>
      <c r="U122" s="112"/>
      <c r="V122" s="112"/>
      <c r="W122" s="112"/>
      <c r="X122" s="113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</row>
    <row r="123" spans="1:40" ht="12.75" x14ac:dyDescent="0.2">
      <c r="A123" s="174"/>
      <c r="B123" s="175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11"/>
      <c r="N123" s="106"/>
      <c r="O123" s="104"/>
      <c r="P123" s="104"/>
      <c r="Q123" s="104"/>
      <c r="R123" s="112"/>
      <c r="S123" s="112"/>
      <c r="T123" s="112"/>
      <c r="U123" s="112"/>
      <c r="V123" s="112"/>
      <c r="W123" s="112"/>
      <c r="X123" s="113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</row>
    <row r="124" spans="1:40" ht="12.75" x14ac:dyDescent="0.2">
      <c r="A124" s="174"/>
      <c r="B124" s="175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11"/>
      <c r="N124" s="106"/>
      <c r="O124" s="104"/>
      <c r="P124" s="104"/>
      <c r="Q124" s="104"/>
      <c r="R124" s="112"/>
      <c r="S124" s="112"/>
      <c r="T124" s="112"/>
      <c r="U124" s="112"/>
      <c r="V124" s="112"/>
      <c r="W124" s="112"/>
      <c r="X124" s="113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</row>
    <row r="125" spans="1:40" ht="12.75" x14ac:dyDescent="0.2">
      <c r="A125" s="174"/>
      <c r="B125" s="175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11"/>
      <c r="N125" s="106"/>
      <c r="O125" s="104"/>
      <c r="P125" s="104"/>
      <c r="Q125" s="104"/>
      <c r="R125" s="112"/>
      <c r="S125" s="112"/>
      <c r="T125" s="112"/>
      <c r="U125" s="112"/>
      <c r="V125" s="112"/>
      <c r="W125" s="112"/>
      <c r="X125" s="113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</row>
    <row r="126" spans="1:40" ht="12.75" x14ac:dyDescent="0.2">
      <c r="A126" s="174"/>
      <c r="B126" s="175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11"/>
      <c r="N126" s="106"/>
      <c r="O126" s="104"/>
      <c r="P126" s="104"/>
      <c r="Q126" s="104"/>
      <c r="R126" s="112"/>
      <c r="S126" s="112"/>
      <c r="T126" s="112"/>
      <c r="U126" s="112"/>
      <c r="V126" s="112"/>
      <c r="W126" s="112"/>
      <c r="X126" s="113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</row>
    <row r="127" spans="1:40" ht="12.75" x14ac:dyDescent="0.2">
      <c r="A127" s="174"/>
      <c r="B127" s="175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11"/>
      <c r="N127" s="106"/>
      <c r="O127" s="104"/>
      <c r="P127" s="104"/>
      <c r="Q127" s="104"/>
      <c r="R127" s="112"/>
      <c r="S127" s="112"/>
      <c r="T127" s="112"/>
      <c r="U127" s="112"/>
      <c r="V127" s="112"/>
      <c r="W127" s="112"/>
      <c r="X127" s="113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</row>
    <row r="128" spans="1:40" ht="12.75" x14ac:dyDescent="0.2">
      <c r="A128" s="174"/>
      <c r="B128" s="175"/>
      <c r="C128" s="176" t="s">
        <v>239</v>
      </c>
      <c r="D128" s="104"/>
      <c r="E128" s="104"/>
      <c r="F128" s="104"/>
      <c r="G128" s="104"/>
      <c r="H128" s="104"/>
      <c r="I128" s="104"/>
      <c r="J128" s="104"/>
      <c r="K128" s="104"/>
      <c r="L128" s="104"/>
      <c r="M128" s="111"/>
      <c r="N128" s="106"/>
      <c r="O128" s="104"/>
      <c r="P128" s="104"/>
      <c r="Q128" s="104"/>
      <c r="R128" s="112"/>
      <c r="S128" s="112"/>
      <c r="T128" s="112"/>
      <c r="U128" s="112"/>
      <c r="V128" s="112"/>
      <c r="W128" s="112"/>
      <c r="X128" s="113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</row>
    <row r="129" spans="1:40" ht="12.75" x14ac:dyDescent="0.2">
      <c r="A129" s="174"/>
      <c r="B129" s="175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11"/>
      <c r="N129" s="106"/>
      <c r="O129" s="104"/>
      <c r="P129" s="104"/>
      <c r="Q129" s="104"/>
      <c r="R129" s="112"/>
      <c r="S129" s="112"/>
      <c r="T129" s="112"/>
      <c r="U129" s="112"/>
      <c r="V129" s="112"/>
      <c r="W129" s="112"/>
      <c r="X129" s="113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</row>
    <row r="130" spans="1:40" ht="12.75" x14ac:dyDescent="0.2">
      <c r="A130" s="174"/>
      <c r="B130" s="17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11"/>
      <c r="N130" s="106"/>
      <c r="O130" s="104"/>
      <c r="P130" s="104"/>
      <c r="Q130" s="104"/>
      <c r="R130" s="112"/>
      <c r="S130" s="112"/>
      <c r="T130" s="112"/>
      <c r="U130" s="112"/>
      <c r="V130" s="112"/>
      <c r="W130" s="112"/>
      <c r="X130" s="113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  <c r="AL130" s="109"/>
      <c r="AM130" s="109"/>
      <c r="AN130" s="109"/>
    </row>
    <row r="131" spans="1:40" ht="12.75" x14ac:dyDescent="0.2">
      <c r="A131" s="174"/>
      <c r="B131" s="175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11"/>
      <c r="N131" s="106"/>
      <c r="O131" s="104"/>
      <c r="P131" s="104"/>
      <c r="Q131" s="104"/>
      <c r="R131" s="112"/>
      <c r="S131" s="112"/>
      <c r="T131" s="112"/>
      <c r="U131" s="112"/>
      <c r="V131" s="112"/>
      <c r="W131" s="112"/>
      <c r="X131" s="113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</row>
    <row r="132" spans="1:40" ht="12.75" x14ac:dyDescent="0.2">
      <c r="A132" s="174"/>
      <c r="B132" s="175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11"/>
      <c r="N132" s="106"/>
      <c r="O132" s="104"/>
      <c r="P132" s="104"/>
      <c r="Q132" s="104"/>
      <c r="R132" s="112"/>
      <c r="S132" s="112"/>
      <c r="T132" s="112"/>
      <c r="U132" s="112"/>
      <c r="V132" s="112"/>
      <c r="W132" s="112"/>
      <c r="X132" s="113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</row>
    <row r="133" spans="1:40" ht="12.75" x14ac:dyDescent="0.2">
      <c r="A133" s="174"/>
      <c r="B133" s="175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11"/>
      <c r="N133" s="106"/>
      <c r="O133" s="104"/>
      <c r="P133" s="104"/>
      <c r="Q133" s="104"/>
      <c r="R133" s="112"/>
      <c r="S133" s="112"/>
      <c r="T133" s="112"/>
      <c r="U133" s="112"/>
      <c r="V133" s="112"/>
      <c r="W133" s="112"/>
      <c r="X133" s="113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</row>
    <row r="134" spans="1:40" ht="12.75" x14ac:dyDescent="0.2">
      <c r="A134" s="174"/>
      <c r="B134" s="175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11"/>
      <c r="N134" s="106"/>
      <c r="O134" s="104"/>
      <c r="P134" s="104"/>
      <c r="Q134" s="104"/>
      <c r="R134" s="112"/>
      <c r="S134" s="112"/>
      <c r="T134" s="112"/>
      <c r="U134" s="112"/>
      <c r="V134" s="112"/>
      <c r="W134" s="112"/>
      <c r="X134" s="113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</row>
    <row r="135" spans="1:40" ht="12.75" x14ac:dyDescent="0.2">
      <c r="A135" s="174"/>
      <c r="B135" s="175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11"/>
      <c r="N135" s="106"/>
      <c r="O135" s="104"/>
      <c r="P135" s="104"/>
      <c r="Q135" s="104"/>
      <c r="R135" s="112"/>
      <c r="S135" s="112"/>
      <c r="T135" s="112"/>
      <c r="U135" s="112"/>
      <c r="V135" s="112"/>
      <c r="W135" s="112"/>
      <c r="X135" s="113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</row>
    <row r="136" spans="1:40" ht="12.75" x14ac:dyDescent="0.2">
      <c r="A136" s="177"/>
      <c r="B136" s="178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11"/>
      <c r="N136" s="106"/>
      <c r="O136" s="104"/>
      <c r="P136" s="104"/>
      <c r="Q136" s="104"/>
      <c r="R136" s="112"/>
      <c r="S136" s="112"/>
      <c r="T136" s="112"/>
      <c r="U136" s="112"/>
      <c r="V136" s="112"/>
      <c r="W136" s="112"/>
      <c r="X136" s="113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</row>
    <row r="137" spans="1:40" ht="12.75" x14ac:dyDescent="0.2">
      <c r="A137" s="177"/>
      <c r="B137" s="178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11"/>
      <c r="N137" s="106"/>
      <c r="O137" s="104"/>
      <c r="P137" s="104"/>
      <c r="Q137" s="104"/>
      <c r="R137" s="112"/>
      <c r="S137" s="112"/>
      <c r="T137" s="112"/>
      <c r="U137" s="112"/>
      <c r="V137" s="112"/>
      <c r="W137" s="112"/>
      <c r="X137" s="113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</row>
    <row r="138" spans="1:40" ht="12.75" x14ac:dyDescent="0.2">
      <c r="A138" s="169"/>
      <c r="B138" s="121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11"/>
      <c r="N138" s="106"/>
      <c r="O138" s="104"/>
      <c r="P138" s="104"/>
      <c r="Q138" s="104"/>
      <c r="R138" s="112"/>
      <c r="S138" s="112"/>
      <c r="T138" s="112"/>
      <c r="U138" s="112"/>
      <c r="V138" s="112"/>
      <c r="W138" s="112"/>
      <c r="X138" s="113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</row>
    <row r="139" spans="1:40" ht="12.75" x14ac:dyDescent="0.2">
      <c r="A139" s="169"/>
      <c r="B139" s="121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11"/>
      <c r="N139" s="106"/>
      <c r="O139" s="104"/>
      <c r="P139" s="104"/>
      <c r="Q139" s="104"/>
      <c r="R139" s="112"/>
      <c r="S139" s="112"/>
      <c r="T139" s="112"/>
      <c r="U139" s="112"/>
      <c r="V139" s="112"/>
      <c r="W139" s="112"/>
      <c r="X139" s="113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</row>
    <row r="140" spans="1:40" ht="12.75" x14ac:dyDescent="0.2">
      <c r="A140" s="169"/>
      <c r="B140" s="121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11"/>
      <c r="N140" s="106"/>
      <c r="O140" s="104"/>
      <c r="P140" s="104"/>
      <c r="Q140" s="104"/>
      <c r="R140" s="112"/>
      <c r="S140" s="112"/>
      <c r="T140" s="112"/>
      <c r="U140" s="112"/>
      <c r="V140" s="112"/>
      <c r="W140" s="112"/>
      <c r="X140" s="113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</row>
    <row r="141" spans="1:40" ht="12.75" x14ac:dyDescent="0.2">
      <c r="A141" s="169"/>
      <c r="B141" s="121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11"/>
      <c r="N141" s="106"/>
      <c r="O141" s="104"/>
      <c r="P141" s="104"/>
      <c r="Q141" s="104"/>
      <c r="R141" s="112"/>
      <c r="S141" s="112"/>
      <c r="T141" s="112"/>
      <c r="U141" s="112"/>
      <c r="V141" s="112"/>
      <c r="W141" s="112"/>
      <c r="X141" s="113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</row>
    <row r="142" spans="1:40" ht="12.75" x14ac:dyDescent="0.2">
      <c r="A142" s="169"/>
      <c r="B142" s="121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11"/>
      <c r="N142" s="106"/>
      <c r="O142" s="104"/>
      <c r="P142" s="104"/>
      <c r="Q142" s="104"/>
      <c r="R142" s="112"/>
      <c r="S142" s="112"/>
      <c r="T142" s="112"/>
      <c r="U142" s="112"/>
      <c r="V142" s="112"/>
      <c r="W142" s="112"/>
      <c r="X142" s="113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</row>
    <row r="143" spans="1:40" ht="12.75" x14ac:dyDescent="0.2">
      <c r="A143" s="169"/>
      <c r="B143" s="121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11"/>
      <c r="N143" s="106"/>
      <c r="O143" s="104"/>
      <c r="P143" s="104"/>
      <c r="Q143" s="104"/>
      <c r="R143" s="112"/>
      <c r="S143" s="112"/>
      <c r="T143" s="112"/>
      <c r="U143" s="112"/>
      <c r="V143" s="112"/>
      <c r="W143" s="112"/>
      <c r="X143" s="113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</row>
    <row r="144" spans="1:40" ht="12.75" x14ac:dyDescent="0.2">
      <c r="A144" s="169"/>
      <c r="B144" s="121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11"/>
      <c r="N144" s="106"/>
      <c r="O144" s="104"/>
      <c r="P144" s="104"/>
      <c r="Q144" s="104"/>
      <c r="R144" s="112"/>
      <c r="S144" s="112"/>
      <c r="T144" s="112"/>
      <c r="U144" s="112"/>
      <c r="V144" s="112"/>
      <c r="W144" s="112"/>
      <c r="X144" s="113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</row>
    <row r="145" spans="1:40" ht="12.75" x14ac:dyDescent="0.2">
      <c r="A145" s="169"/>
      <c r="B145" s="121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11"/>
      <c r="N145" s="106"/>
      <c r="O145" s="104"/>
      <c r="P145" s="104"/>
      <c r="Q145" s="104"/>
      <c r="R145" s="112"/>
      <c r="S145" s="112"/>
      <c r="T145" s="112"/>
      <c r="U145" s="112"/>
      <c r="V145" s="112"/>
      <c r="W145" s="112"/>
      <c r="X145" s="113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</row>
    <row r="146" spans="1:40" ht="12.75" x14ac:dyDescent="0.2">
      <c r="A146" s="169"/>
      <c r="B146" s="121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11"/>
      <c r="N146" s="106"/>
      <c r="O146" s="104"/>
      <c r="P146" s="104"/>
      <c r="Q146" s="104"/>
      <c r="R146" s="112"/>
      <c r="S146" s="112"/>
      <c r="T146" s="112"/>
      <c r="U146" s="112"/>
      <c r="V146" s="112"/>
      <c r="W146" s="112"/>
      <c r="X146" s="113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</row>
    <row r="147" spans="1:40" ht="12.75" x14ac:dyDescent="0.2">
      <c r="A147" s="169"/>
      <c r="B147" s="121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11"/>
      <c r="N147" s="106"/>
      <c r="O147" s="104"/>
      <c r="P147" s="104"/>
      <c r="Q147" s="104"/>
      <c r="R147" s="112"/>
      <c r="S147" s="112"/>
      <c r="T147" s="112"/>
      <c r="U147" s="112"/>
      <c r="V147" s="112"/>
      <c r="W147" s="112"/>
      <c r="X147" s="113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</row>
    <row r="148" spans="1:40" ht="12.75" x14ac:dyDescent="0.2">
      <c r="A148" s="169"/>
      <c r="B148" s="121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11"/>
      <c r="N148" s="106"/>
      <c r="O148" s="104"/>
      <c r="P148" s="104"/>
      <c r="Q148" s="104"/>
      <c r="R148" s="112"/>
      <c r="S148" s="112"/>
      <c r="T148" s="112"/>
      <c r="U148" s="112"/>
      <c r="V148" s="112"/>
      <c r="W148" s="112"/>
      <c r="X148" s="113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</row>
    <row r="149" spans="1:40" ht="12.75" x14ac:dyDescent="0.2">
      <c r="A149" s="169"/>
      <c r="B149" s="121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11"/>
      <c r="N149" s="106"/>
      <c r="O149" s="104"/>
      <c r="P149" s="104"/>
      <c r="Q149" s="104"/>
      <c r="R149" s="112"/>
      <c r="S149" s="112"/>
      <c r="T149" s="112"/>
      <c r="U149" s="112"/>
      <c r="V149" s="112"/>
      <c r="W149" s="112"/>
      <c r="X149" s="113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</row>
  </sheetData>
  <mergeCells count="18">
    <mergeCell ref="Y2:Z2"/>
    <mergeCell ref="A55:A56"/>
    <mergeCell ref="V1:V3"/>
    <mergeCell ref="W1:W3"/>
    <mergeCell ref="X1:X3"/>
    <mergeCell ref="Y1:Z1"/>
    <mergeCell ref="C2:D2"/>
    <mergeCell ref="E2:F2"/>
    <mergeCell ref="G2:H2"/>
    <mergeCell ref="I2:J2"/>
    <mergeCell ref="K2:L2"/>
    <mergeCell ref="M2:O2"/>
    <mergeCell ref="C1:H1"/>
    <mergeCell ref="I1:O1"/>
    <mergeCell ref="R1:R3"/>
    <mergeCell ref="S1:S3"/>
    <mergeCell ref="T1:T3"/>
    <mergeCell ref="U1:U3"/>
  </mergeCells>
  <dataValidations count="1">
    <dataValidation type="list" allowBlank="1" sqref="A11 A63" xr:uid="{440D7246-4D71-498C-81B3-F36262E89C38}">
      <formula1>"Pending,Approved,Denied,Dropped"</formula1>
    </dataValidation>
  </dataValidations>
  <hyperlinks>
    <hyperlink ref="R1" r:id="rId1" xr:uid="{6E489E12-596B-449A-AE69-8D04008178F2}"/>
    <hyperlink ref="S1" r:id="rId2" xr:uid="{6946D29E-D761-4039-9EAB-1AC5667CCFDB}"/>
    <hyperlink ref="T1" r:id="rId3" xr:uid="{8F18076D-4BDD-44C2-9947-0D52C85A18DB}"/>
    <hyperlink ref="U1" r:id="rId4" location="toc9" xr:uid="{D5499401-B726-4EA5-AE14-06815478F740}"/>
    <hyperlink ref="A2" r:id="rId5" xr:uid="{7C69870E-32AB-40EF-A581-F6CE65076E55}"/>
    <hyperlink ref="B2" r:id="rId6" xr:uid="{AEA7481C-DC03-4081-A7B2-054B283E0A23}"/>
    <hyperlink ref="Y2" r:id="rId7" xr:uid="{96BEA51E-4EFD-401D-A089-52B1203395AF}"/>
    <hyperlink ref="A3" r:id="rId8" xr:uid="{FD12961F-781D-4852-ACBB-20401C5E43AF}"/>
    <hyperlink ref="K3" r:id="rId9" xr:uid="{0CE85529-1A62-447F-B12F-4604753A632A}"/>
    <hyperlink ref="B5" r:id="rId10" xr:uid="{6C3F1EA3-53D3-4711-8F4F-7C1849BCE7AF}"/>
    <hyperlink ref="B6" r:id="rId11" xr:uid="{CAB2DBF0-BFFF-4FE4-9A04-ABAB4A82BAA2}"/>
    <hyperlink ref="B7" r:id="rId12" xr:uid="{87F19AFC-9593-4595-909D-1C8370D78B3B}"/>
    <hyperlink ref="B8" r:id="rId13" xr:uid="{6F7D4703-D677-4A73-B935-18B68392D841}"/>
    <hyperlink ref="B9" r:id="rId14" xr:uid="{319D4670-EDF8-4D41-973C-FB1E6DE671C8}"/>
    <hyperlink ref="B10" r:id="rId15" xr:uid="{630EAFDC-31FF-4CCF-B872-23CA965F8339}"/>
    <hyperlink ref="B11" r:id="rId16" xr:uid="{170C635F-4967-43BB-B17A-EEB827898C26}"/>
    <hyperlink ref="B12" r:id="rId17" xr:uid="{EE7B352C-08E0-4820-A1F0-724A5BBE553A}"/>
    <hyperlink ref="B13" r:id="rId18" xr:uid="{ACBFADF4-06B5-4F68-90E6-D262238AEA61}"/>
    <hyperlink ref="B14" r:id="rId19" xr:uid="{141501DD-86A5-4B93-9217-31F10F8391EA}"/>
    <hyperlink ref="B15" r:id="rId20" xr:uid="{ED946DAF-FAB5-4BD3-8C3E-24F9FAABC7CF}"/>
    <hyperlink ref="B16" r:id="rId21" xr:uid="{AACC11F5-8313-43A1-ABDE-C10CD49ADCC7}"/>
    <hyperlink ref="B21" r:id="rId22" xr:uid="{A8710EF8-2912-4C63-806C-FD72F47CF053}"/>
    <hyperlink ref="B27" r:id="rId23" xr:uid="{DAC75102-E312-4689-BE2F-B20C9CD01338}"/>
    <hyperlink ref="B31" r:id="rId24" xr:uid="{7218B40D-2C5B-4E20-8695-C0F3B50F0220}"/>
    <hyperlink ref="B37" r:id="rId25" xr:uid="{3CE6DCE0-A47E-460E-8363-513CD27BE2BC}"/>
    <hyperlink ref="B38" r:id="rId26" xr:uid="{097D070D-AE90-420B-A83C-B18A9D2A5723}"/>
    <hyperlink ref="N38" r:id="rId27" display="https://charityvillage.com/learning-centre/courses/management-leadership-bundle/" xr:uid="{BDD32A91-D2ED-499C-AA71-026780D8F43F}"/>
    <hyperlink ref="B39" r:id="rId28" xr:uid="{8E650090-7390-447E-8AA4-E72D553188B5}"/>
    <hyperlink ref="B40" r:id="rId29" xr:uid="{A86A7F49-9670-44E1-9197-958BE34BC038}"/>
    <hyperlink ref="B41" r:id="rId30" xr:uid="{14406345-8C1D-41EC-811A-C96BF9737BB1}"/>
    <hyperlink ref="B42" r:id="rId31" xr:uid="{99EA2BAB-C6C4-4DA7-AA54-3061B9B51E4E}"/>
    <hyperlink ref="B43" r:id="rId32" xr:uid="{32D4D9A8-7B50-4021-A16C-14F7E0866AA6}"/>
    <hyperlink ref="B44" r:id="rId33" xr:uid="{301478B8-A0C0-49DF-9E81-22146831E961}"/>
    <hyperlink ref="B45" r:id="rId34" xr:uid="{CA2F20D6-875D-4373-AEA3-1E7A2CFB134A}"/>
    <hyperlink ref="B46" r:id="rId35" xr:uid="{A754C284-B76E-4F5B-8437-182351C375CF}"/>
    <hyperlink ref="B47" r:id="rId36" xr:uid="{47A303F3-D24E-4FB3-9012-C41F4680A885}"/>
    <hyperlink ref="B48" r:id="rId37" xr:uid="{93DADD1C-6D08-4DD2-A507-6ACE5ADE835B}"/>
    <hyperlink ref="B51" r:id="rId38" xr:uid="{CCC8A86B-439C-48F2-817D-899C436B93D6}"/>
    <hyperlink ref="A55" r:id="rId39" location="toc9" xr:uid="{C34B443A-33A4-44AF-A609-4190493EA98D}"/>
    <hyperlink ref="B55" r:id="rId40" xr:uid="{0EAD98C0-DC07-44BF-B0CD-412D6088AB80}"/>
    <hyperlink ref="B56" r:id="rId41" xr:uid="{AA5E6C18-48B6-49DE-ACCC-E4094C3B9BBC}"/>
    <hyperlink ref="B57" r:id="rId42" xr:uid="{92361A3C-897B-450D-9694-0F4EBE423714}"/>
    <hyperlink ref="B58" r:id="rId43" xr:uid="{7C10C28B-B894-4337-B79A-16E68984A7E3}"/>
    <hyperlink ref="N58" r:id="rId44" display="https://charityvillage.com/learning-centre/courses/fundraising-bundle/" xr:uid="{C0F500A4-F4AB-4E7D-BCAD-05BA3662EDDB}"/>
    <hyperlink ref="B67" r:id="rId45" xr:uid="{C5BCEA6E-8F3E-4527-B19D-967D24E2541A}"/>
    <hyperlink ref="B68" r:id="rId46" xr:uid="{142CF0C5-6589-409D-BD61-E59F4339BF3D}"/>
    <hyperlink ref="B72" r:id="rId47" xr:uid="{29A128BA-6ECD-4F69-9466-CC47A5168CFE}"/>
    <hyperlink ref="B73" r:id="rId48" xr:uid="{93B6964D-32A1-49E8-9A4D-419C757E3B66}"/>
    <hyperlink ref="B78" r:id="rId49" xr:uid="{D047D39B-D554-49AB-95C1-A4106987A7EB}"/>
    <hyperlink ref="B79" r:id="rId50" xr:uid="{A926087D-114B-4FDA-8F7C-35589309990B}"/>
    <hyperlink ref="B80" r:id="rId51" xr:uid="{CFB15DA0-1269-4B55-892D-69BED6268BD1}"/>
    <hyperlink ref="B81" r:id="rId52" xr:uid="{B18F11DE-6BC9-4565-BCC9-D5422FBAB0D0}"/>
    <hyperlink ref="B82" r:id="rId53" xr:uid="{1521C4E3-6E7C-4DB2-8216-E12359B284E3}"/>
    <hyperlink ref="N82" r:id="rId54" display="https://charityvillage.com/learning-centre/courses/special-events-bundle/" xr:uid="{464DCB77-10C8-4758-BF56-7861DF05FFF3}"/>
    <hyperlink ref="B84" r:id="rId55" xr:uid="{3268190E-19CF-4DCD-A3E4-33BD9CDB12F7}"/>
    <hyperlink ref="B89" r:id="rId56" xr:uid="{20C9F71D-6EE6-422A-8279-D9494F2C0C1A}"/>
    <hyperlink ref="D120" r:id="rId57" xr:uid="{F1687660-C336-4118-9F0C-F8FE98CAE2F4}"/>
    <hyperlink ref="C128" r:id="rId58" xr:uid="{53D82691-51FA-4A3D-B2AB-20BB1E03FE0C}"/>
  </hyperlinks>
  <pageMargins left="0.7" right="0.7" top="0.75" bottom="0.75" header="0.3" footer="0.3"/>
  <pageSetup orientation="portrait" horizontalDpi="300" verticalDpi="300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Income Stmt</vt:lpstr>
      <vt:lpstr>CR budget</vt:lpstr>
      <vt:lpstr>'Income Stmt'!Print_Area</vt:lpstr>
      <vt:lpstr>'Income Stmt'!Print_Titles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Misty Bromley</dc:creator>
  <cp:lastModifiedBy>Misty Bromley</cp:lastModifiedBy>
  <cp:lastPrinted>2022-04-04T16:51:22Z</cp:lastPrinted>
  <dcterms:created xsi:type="dcterms:W3CDTF">2018-03-29T21:40:09Z</dcterms:created>
  <dcterms:modified xsi:type="dcterms:W3CDTF">2022-04-13T17:16:12Z</dcterms:modified>
</cp:coreProperties>
</file>