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npllp-my.sharepoint.com/personal/corey_dyck_mnp_ca/Documents/Documents/Boards/MAC Committee/"/>
    </mc:Choice>
  </mc:AlternateContent>
  <xr:revisionPtr revIDLastSave="275" documentId="11_F25DC773A252ABDACC104800E11B7AD05BDE58E9" xr6:coauthVersionLast="47" xr6:coauthVersionMax="47" xr10:uidLastSave="{933CC965-1958-48B4-84A1-680B8E982C3D}"/>
  <bookViews>
    <workbookView xWindow="-24108" yWindow="-108" windowWidth="24216" windowHeight="13116" xr2:uid="{00000000-000D-0000-FFFF-FFFF00000000}"/>
  </bookViews>
  <sheets>
    <sheet name="1- BW MAC Procedures" sheetId="1" r:id="rId1"/>
    <sheet name="2 - Balance Sheet" sheetId="2" r:id="rId2"/>
    <sheet name="3- Profit and Los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 l="1"/>
  <c r="E31" i="1" s="1"/>
  <c r="C31" i="1"/>
  <c r="B31" i="1"/>
  <c r="C30" i="1"/>
  <c r="B30" i="1"/>
  <c r="C29" i="1"/>
  <c r="B29" i="1"/>
  <c r="C25" i="1"/>
  <c r="C26" i="1" s="1"/>
  <c r="B25" i="1"/>
  <c r="B26" i="1" s="1"/>
  <c r="D26" i="1" s="1"/>
  <c r="E26" i="1" s="1"/>
  <c r="C24" i="1"/>
  <c r="B24" i="1"/>
  <c r="E10" i="1"/>
  <c r="E11" i="1"/>
  <c r="E9" i="1"/>
  <c r="C12" i="1"/>
  <c r="E12" i="1" s="1"/>
  <c r="C11" i="1"/>
  <c r="C10" i="1"/>
  <c r="C9" i="1"/>
  <c r="B74" i="3"/>
  <c r="C73" i="3"/>
  <c r="C74" i="3" s="1"/>
  <c r="E74" i="3" s="1"/>
  <c r="B73" i="3"/>
  <c r="E73" i="3" s="1"/>
  <c r="E70" i="3"/>
  <c r="C70" i="3"/>
  <c r="B70" i="3"/>
  <c r="D70" i="3" s="1"/>
  <c r="E69" i="3"/>
  <c r="C69" i="3"/>
  <c r="D69" i="3" s="1"/>
  <c r="E68" i="3"/>
  <c r="D68" i="3"/>
  <c r="B68" i="3"/>
  <c r="E67" i="3"/>
  <c r="B67" i="3"/>
  <c r="D67" i="3" s="1"/>
  <c r="E66" i="3"/>
  <c r="B66" i="3"/>
  <c r="D66" i="3" s="1"/>
  <c r="E65" i="3"/>
  <c r="C65" i="3"/>
  <c r="B65" i="3"/>
  <c r="D65" i="3" s="1"/>
  <c r="C64" i="3"/>
  <c r="B64" i="3"/>
  <c r="E64" i="3" s="1"/>
  <c r="E63" i="3"/>
  <c r="C63" i="3"/>
  <c r="B63" i="3"/>
  <c r="D63" i="3" s="1"/>
  <c r="E62" i="3"/>
  <c r="D62" i="3"/>
  <c r="C62" i="3"/>
  <c r="E61" i="3"/>
  <c r="D61" i="3"/>
  <c r="C61" i="3"/>
  <c r="B61" i="3"/>
  <c r="E60" i="3"/>
  <c r="D60" i="3"/>
  <c r="C60" i="3"/>
  <c r="B60" i="3"/>
  <c r="E59" i="3"/>
  <c r="D59" i="3"/>
  <c r="C59" i="3"/>
  <c r="B59" i="3"/>
  <c r="E58" i="3"/>
  <c r="D58" i="3"/>
  <c r="C58" i="3"/>
  <c r="B58" i="3"/>
  <c r="E57" i="3"/>
  <c r="D57" i="3"/>
  <c r="C57" i="3"/>
  <c r="B57" i="3"/>
  <c r="E56" i="3"/>
  <c r="D56" i="3"/>
  <c r="C56" i="3"/>
  <c r="D55" i="3"/>
  <c r="C55" i="3"/>
  <c r="E55" i="3" s="1"/>
  <c r="B55" i="3"/>
  <c r="E54" i="3"/>
  <c r="D54" i="3"/>
  <c r="B54" i="3"/>
  <c r="E53" i="3"/>
  <c r="B53" i="3"/>
  <c r="D53" i="3" s="1"/>
  <c r="E52" i="3"/>
  <c r="D52" i="3"/>
  <c r="C52" i="3"/>
  <c r="E51" i="3"/>
  <c r="D51" i="3"/>
  <c r="C51" i="3"/>
  <c r="B51" i="3"/>
  <c r="E50" i="3"/>
  <c r="D50" i="3"/>
  <c r="B50" i="3"/>
  <c r="E49" i="3"/>
  <c r="D49" i="3"/>
  <c r="B49" i="3"/>
  <c r="E48" i="3"/>
  <c r="B48" i="3"/>
  <c r="D48" i="3" s="1"/>
  <c r="E47" i="3"/>
  <c r="D47" i="3"/>
  <c r="C47" i="3"/>
  <c r="E46" i="3"/>
  <c r="D46" i="3"/>
  <c r="C46" i="3"/>
  <c r="B46" i="3"/>
  <c r="E45" i="3"/>
  <c r="D45" i="3"/>
  <c r="C45" i="3"/>
  <c r="B45" i="3"/>
  <c r="E44" i="3"/>
  <c r="D44" i="3"/>
  <c r="C44" i="3"/>
  <c r="B44" i="3"/>
  <c r="E43" i="3"/>
  <c r="D43" i="3"/>
  <c r="C43" i="3"/>
  <c r="B43" i="3"/>
  <c r="E42" i="3"/>
  <c r="D42" i="3"/>
  <c r="C42" i="3"/>
  <c r="C41" i="3"/>
  <c r="D41" i="3" s="1"/>
  <c r="B41" i="3"/>
  <c r="E40" i="3"/>
  <c r="D40" i="3"/>
  <c r="B40" i="3"/>
  <c r="C39" i="3"/>
  <c r="E39" i="3" s="1"/>
  <c r="B39" i="3"/>
  <c r="D39" i="3" s="1"/>
  <c r="C38" i="3"/>
  <c r="E38" i="3" s="1"/>
  <c r="B38" i="3"/>
  <c r="D38" i="3" s="1"/>
  <c r="E37" i="3"/>
  <c r="B37" i="3"/>
  <c r="B71" i="3" s="1"/>
  <c r="D71" i="3" s="1"/>
  <c r="E36" i="3"/>
  <c r="D36" i="3"/>
  <c r="C36" i="3"/>
  <c r="E35" i="3"/>
  <c r="D35" i="3"/>
  <c r="C35" i="3"/>
  <c r="B35" i="3"/>
  <c r="E34" i="3"/>
  <c r="D34" i="3"/>
  <c r="C34" i="3"/>
  <c r="C71" i="3" s="1"/>
  <c r="B34" i="3"/>
  <c r="B31" i="3"/>
  <c r="E30" i="3"/>
  <c r="D30" i="3"/>
  <c r="C30" i="3"/>
  <c r="B30" i="3"/>
  <c r="E29" i="3"/>
  <c r="D29" i="3"/>
  <c r="C29" i="3"/>
  <c r="C31" i="3" s="1"/>
  <c r="C26" i="3"/>
  <c r="E26" i="3" s="1"/>
  <c r="B26" i="3"/>
  <c r="E25" i="3"/>
  <c r="D25" i="3"/>
  <c r="B25" i="3"/>
  <c r="C24" i="3"/>
  <c r="E24" i="3" s="1"/>
  <c r="B24" i="3"/>
  <c r="D24" i="3" s="1"/>
  <c r="C23" i="3"/>
  <c r="E23" i="3" s="1"/>
  <c r="C22" i="3"/>
  <c r="B22" i="3"/>
  <c r="E22" i="3" s="1"/>
  <c r="E21" i="3"/>
  <c r="D21" i="3"/>
  <c r="B21" i="3"/>
  <c r="E20" i="3"/>
  <c r="D20" i="3"/>
  <c r="C20" i="3"/>
  <c r="B20" i="3"/>
  <c r="E19" i="3"/>
  <c r="D19" i="3"/>
  <c r="B19" i="3"/>
  <c r="D18" i="3"/>
  <c r="C18" i="3"/>
  <c r="E18" i="3" s="1"/>
  <c r="B18" i="3"/>
  <c r="E17" i="3"/>
  <c r="B17" i="3"/>
  <c r="D17" i="3" s="1"/>
  <c r="C16" i="3"/>
  <c r="E16" i="3" s="1"/>
  <c r="B16" i="3"/>
  <c r="D16" i="3" s="1"/>
  <c r="C15" i="3"/>
  <c r="E15" i="3" s="1"/>
  <c r="B15" i="3"/>
  <c r="D15" i="3" s="1"/>
  <c r="C14" i="3"/>
  <c r="E14" i="3" s="1"/>
  <c r="B14" i="3"/>
  <c r="D14" i="3" s="1"/>
  <c r="E13" i="3"/>
  <c r="B13" i="3"/>
  <c r="D13" i="3" s="1"/>
  <c r="E12" i="3"/>
  <c r="D12" i="3"/>
  <c r="B12" i="3"/>
  <c r="E11" i="3"/>
  <c r="D11" i="3"/>
  <c r="C11" i="3"/>
  <c r="B11" i="3"/>
  <c r="E10" i="3"/>
  <c r="D10" i="3"/>
  <c r="C10" i="3"/>
  <c r="B10" i="3"/>
  <c r="E9" i="3"/>
  <c r="D9" i="3"/>
  <c r="C9" i="3"/>
  <c r="E8" i="3"/>
  <c r="B8" i="3"/>
  <c r="B27" i="3" s="1"/>
  <c r="E67" i="2"/>
  <c r="D67" i="2"/>
  <c r="C67" i="2"/>
  <c r="B67" i="2"/>
  <c r="C66" i="2"/>
  <c r="C68" i="2" s="1"/>
  <c r="B66" i="2"/>
  <c r="E66" i="2" s="1"/>
  <c r="E65" i="2"/>
  <c r="D65" i="2"/>
  <c r="C65" i="2"/>
  <c r="B65" i="2"/>
  <c r="E61" i="2"/>
  <c r="B61" i="2"/>
  <c r="D61" i="2" s="1"/>
  <c r="E60" i="2"/>
  <c r="D60" i="2"/>
  <c r="C60" i="2"/>
  <c r="C62" i="2" s="1"/>
  <c r="E62" i="2" s="1"/>
  <c r="B60" i="2"/>
  <c r="D59" i="2"/>
  <c r="C59" i="2"/>
  <c r="B59" i="2"/>
  <c r="B62" i="2" s="1"/>
  <c r="D56" i="2"/>
  <c r="C56" i="2"/>
  <c r="B56" i="2"/>
  <c r="E56" i="2" s="1"/>
  <c r="E55" i="2"/>
  <c r="D55" i="2"/>
  <c r="B55" i="2"/>
  <c r="E54" i="2"/>
  <c r="B54" i="2"/>
  <c r="D54" i="2" s="1"/>
  <c r="E53" i="2"/>
  <c r="B53" i="2"/>
  <c r="D53" i="2" s="1"/>
  <c r="E52" i="2"/>
  <c r="D52" i="2"/>
  <c r="B52" i="2"/>
  <c r="D51" i="2"/>
  <c r="C51" i="2"/>
  <c r="E51" i="2" s="1"/>
  <c r="B51" i="2"/>
  <c r="D49" i="2"/>
  <c r="C49" i="2"/>
  <c r="E49" i="2" s="1"/>
  <c r="B49" i="2"/>
  <c r="E48" i="2"/>
  <c r="D48" i="2"/>
  <c r="C48" i="2"/>
  <c r="C50" i="2" s="1"/>
  <c r="B48" i="2"/>
  <c r="B50" i="2" s="1"/>
  <c r="D41" i="2"/>
  <c r="C41" i="2"/>
  <c r="E41" i="2" s="1"/>
  <c r="B41" i="2"/>
  <c r="E39" i="2"/>
  <c r="D39" i="2"/>
  <c r="B39" i="2"/>
  <c r="E38" i="2"/>
  <c r="B38" i="2"/>
  <c r="D38" i="2" s="1"/>
  <c r="E37" i="2"/>
  <c r="C37" i="2"/>
  <c r="B37" i="2"/>
  <c r="D37" i="2" s="1"/>
  <c r="C36" i="2"/>
  <c r="E36" i="2" s="1"/>
  <c r="B36" i="2"/>
  <c r="D36" i="2" s="1"/>
  <c r="E35" i="2"/>
  <c r="B35" i="2"/>
  <c r="D35" i="2" s="1"/>
  <c r="C34" i="2"/>
  <c r="B34" i="2"/>
  <c r="E34" i="2" s="1"/>
  <c r="E33" i="2"/>
  <c r="D33" i="2"/>
  <c r="C33" i="2"/>
  <c r="B33" i="2"/>
  <c r="E32" i="2"/>
  <c r="B32" i="2"/>
  <c r="D32" i="2" s="1"/>
  <c r="D31" i="2"/>
  <c r="C31" i="2"/>
  <c r="E31" i="2" s="1"/>
  <c r="B31" i="2"/>
  <c r="D30" i="2"/>
  <c r="C30" i="2"/>
  <c r="B30" i="2"/>
  <c r="E30" i="2" s="1"/>
  <c r="D29" i="2"/>
  <c r="C29" i="2"/>
  <c r="E29" i="2" s="1"/>
  <c r="B29" i="2"/>
  <c r="E28" i="2"/>
  <c r="D28" i="2"/>
  <c r="B28" i="2"/>
  <c r="C27" i="2"/>
  <c r="C40" i="2" s="1"/>
  <c r="B27" i="2"/>
  <c r="D27" i="2" s="1"/>
  <c r="E26" i="2"/>
  <c r="B26" i="2"/>
  <c r="D26" i="2" s="1"/>
  <c r="E25" i="2"/>
  <c r="B25" i="2"/>
  <c r="B40" i="2" s="1"/>
  <c r="C21" i="2"/>
  <c r="B21" i="2"/>
  <c r="E21" i="2" s="1"/>
  <c r="E20" i="2"/>
  <c r="D20" i="2"/>
  <c r="C20" i="2"/>
  <c r="B20" i="2"/>
  <c r="B19" i="2"/>
  <c r="E18" i="2"/>
  <c r="D18" i="2"/>
  <c r="B18" i="2"/>
  <c r="D17" i="2"/>
  <c r="C17" i="2"/>
  <c r="B17" i="2"/>
  <c r="E17" i="2" s="1"/>
  <c r="D16" i="2"/>
  <c r="C16" i="2"/>
  <c r="C19" i="2" s="1"/>
  <c r="E19" i="2" s="1"/>
  <c r="B16" i="2"/>
  <c r="E13" i="2"/>
  <c r="D13" i="2"/>
  <c r="B13" i="2"/>
  <c r="C12" i="2"/>
  <c r="E12" i="2" s="1"/>
  <c r="B12" i="2"/>
  <c r="C11" i="2"/>
  <c r="E11" i="2" s="1"/>
  <c r="B11" i="2"/>
  <c r="D11" i="2" s="1"/>
  <c r="C10" i="2"/>
  <c r="E10" i="2" s="1"/>
  <c r="B10" i="2"/>
  <c r="D27" i="3" l="1"/>
  <c r="B32" i="3"/>
  <c r="D31" i="3"/>
  <c r="E31" i="3"/>
  <c r="E71" i="3"/>
  <c r="D74" i="3"/>
  <c r="D26" i="3"/>
  <c r="D37" i="3"/>
  <c r="E41" i="3"/>
  <c r="D8" i="3"/>
  <c r="D22" i="3"/>
  <c r="D64" i="3"/>
  <c r="C27" i="3"/>
  <c r="D23" i="3"/>
  <c r="D73" i="3"/>
  <c r="C57" i="2"/>
  <c r="E50" i="2"/>
  <c r="C42" i="2"/>
  <c r="E42" i="2" s="1"/>
  <c r="E40" i="2"/>
  <c r="D19" i="2"/>
  <c r="D50" i="2"/>
  <c r="B57" i="2"/>
  <c r="B42" i="2"/>
  <c r="D40" i="2"/>
  <c r="D62" i="2"/>
  <c r="E16" i="2"/>
  <c r="B68" i="2"/>
  <c r="D68" i="2" s="1"/>
  <c r="B14" i="2"/>
  <c r="D25" i="2"/>
  <c r="E27" i="2"/>
  <c r="C14" i="2"/>
  <c r="D21" i="2"/>
  <c r="D34" i="2"/>
  <c r="D66" i="2"/>
  <c r="D10" i="2"/>
  <c r="E59" i="2"/>
  <c r="D12" i="2"/>
  <c r="B75" i="3" l="1"/>
  <c r="D32" i="3"/>
  <c r="E27" i="3"/>
  <c r="C32" i="3"/>
  <c r="E68" i="2"/>
  <c r="D57" i="2"/>
  <c r="B63" i="2"/>
  <c r="B22" i="2"/>
  <c r="D14" i="2"/>
  <c r="C22" i="2"/>
  <c r="E14" i="2"/>
  <c r="D42" i="2"/>
  <c r="C63" i="2"/>
  <c r="E57" i="2"/>
  <c r="C75" i="3" l="1"/>
  <c r="E75" i="3" s="1"/>
  <c r="E32" i="3"/>
  <c r="E22" i="2"/>
  <c r="C43" i="2"/>
  <c r="E43" i="2" s="1"/>
  <c r="C69" i="2"/>
  <c r="E63" i="2"/>
  <c r="D22" i="2"/>
  <c r="B43" i="2"/>
  <c r="D43" i="2" s="1"/>
  <c r="B69" i="2"/>
  <c r="D69" i="2" s="1"/>
  <c r="D63" i="2"/>
  <c r="D75" i="3" l="1"/>
  <c r="E69" i="2"/>
</calcChain>
</file>

<file path=xl/sharedStrings.xml><?xml version="1.0" encoding="utf-8"?>
<sst xmlns="http://schemas.openxmlformats.org/spreadsheetml/2006/main" count="209" uniqueCount="198">
  <si>
    <t>Bike Winnipeg</t>
  </si>
  <si>
    <t>MAC Procedure Book</t>
  </si>
  <si>
    <t>Year ending December 31, 2021</t>
  </si>
  <si>
    <t>Purpose:</t>
  </si>
  <si>
    <t>To perform analytical procedures over Bike Winnipeg's financial statements and identify any material misstatements</t>
  </si>
  <si>
    <t>Bike Winnipeg Inc.</t>
  </si>
  <si>
    <t>Balance Sheet</t>
  </si>
  <si>
    <t>As of December 31, 2021</t>
  </si>
  <si>
    <t>Total</t>
  </si>
  <si>
    <t>As of Dec. 31, 2021</t>
  </si>
  <si>
    <t>As of Dec. 31, 2020 (PY)</t>
  </si>
  <si>
    <t>Change</t>
  </si>
  <si>
    <t>% Change</t>
  </si>
  <si>
    <t>Assets</t>
  </si>
  <si>
    <t xml:space="preserve">   Current Assets</t>
  </si>
  <si>
    <t xml:space="preserve">      Cash and Cash Equivalent</t>
  </si>
  <si>
    <t xml:space="preserve">         Bank - Paypal</t>
  </si>
  <si>
    <t xml:space="preserve">         Chequing</t>
  </si>
  <si>
    <t xml:space="preserve">         Petty Cash</t>
  </si>
  <si>
    <t xml:space="preserve">         Savings</t>
  </si>
  <si>
    <t xml:space="preserve">      Total Cash and Cash Equivalent</t>
  </si>
  <si>
    <t xml:space="preserve">      Accounts Receivable (A/R)</t>
  </si>
  <si>
    <t xml:space="preserve">         Accounts Receivable - Bike Valet</t>
  </si>
  <si>
    <t xml:space="preserve">         Accounts Receivable - Other</t>
  </si>
  <si>
    <t xml:space="preserve">         Unapplied Cash Receipts</t>
  </si>
  <si>
    <t xml:space="preserve">      Total Accounts Receivable (A/R)</t>
  </si>
  <si>
    <t xml:space="preserve">      Merchandise</t>
  </si>
  <si>
    <t xml:space="preserve">      Prepaid expenses</t>
  </si>
  <si>
    <t xml:space="preserve">   Total Current Assets</t>
  </si>
  <si>
    <t xml:space="preserve">   Non-current Assets</t>
  </si>
  <si>
    <t xml:space="preserve">      Property, plant and equipment </t>
  </si>
  <si>
    <t xml:space="preserve">         Acc Amort - BV 2020/21 Equip</t>
  </si>
  <si>
    <t xml:space="preserve">         Acc Amort - BV Drill Press</t>
  </si>
  <si>
    <t xml:space="preserve">         Acc Amort - BV Equip</t>
  </si>
  <si>
    <t xml:space="preserve">         Acc Amort - BV Fending</t>
  </si>
  <si>
    <t xml:space="preserve">         Acc Amort - BV Tents</t>
  </si>
  <si>
    <t xml:space="preserve">         Acc Amort - Display Flag</t>
  </si>
  <si>
    <t xml:space="preserve">         Acc Amort - Display Trailer</t>
  </si>
  <si>
    <t xml:space="preserve">         Acc Amort - E-bikes</t>
  </si>
  <si>
    <t xml:space="preserve">         Bike Valet Equipment</t>
  </si>
  <si>
    <t xml:space="preserve">         Bike Valet Equipment - 2020/2021</t>
  </si>
  <si>
    <t xml:space="preserve">         Bike Valet Fencing - 2020/2021</t>
  </si>
  <si>
    <t xml:space="preserve">         Display Flag</t>
  </si>
  <si>
    <t xml:space="preserve">         Display Trailer</t>
  </si>
  <si>
    <t xml:space="preserve">         Drill Press</t>
  </si>
  <si>
    <t xml:space="preserve">         E-Bike</t>
  </si>
  <si>
    <t xml:space="preserve">      Total Property, plant and equipment </t>
  </si>
  <si>
    <t xml:space="preserve">      ACU share</t>
  </si>
  <si>
    <t xml:space="preserve">   Total Non Current Assets</t>
  </si>
  <si>
    <t>Total Assets</t>
  </si>
  <si>
    <t>Liabilities and Equity</t>
  </si>
  <si>
    <t xml:space="preserve">   Liabilities</t>
  </si>
  <si>
    <t xml:space="preserve">      Current Liabilities</t>
  </si>
  <si>
    <t xml:space="preserve">         Accounts Payable (A/P)</t>
  </si>
  <si>
    <t xml:space="preserve">            Accounts Payable - Bike Valet</t>
  </si>
  <si>
    <t xml:space="preserve">            Accounts Payable - Other</t>
  </si>
  <si>
    <t xml:space="preserve">         Total Accounts Payable (A/P)</t>
  </si>
  <si>
    <t xml:space="preserve">         Accrued Grant Income</t>
  </si>
  <si>
    <t xml:space="preserve">         Accrued Vacation Pay</t>
  </si>
  <si>
    <t xml:space="preserve">         Deferred Revenue - Bike Valet Expansion</t>
  </si>
  <si>
    <t xml:space="preserve">         Deferred Revenue - Bikeshare Development</t>
  </si>
  <si>
    <t xml:space="preserve">         Loan - ACU</t>
  </si>
  <si>
    <t xml:space="preserve">         Source Deductions Payable</t>
  </si>
  <si>
    <t xml:space="preserve">      Total Current Liabilities</t>
  </si>
  <si>
    <t xml:space="preserve">      Non-current Liabilities</t>
  </si>
  <si>
    <t xml:space="preserve">         Bike Valet Equipment Contingency</t>
  </si>
  <si>
    <t xml:space="preserve">         Deferred Income</t>
  </si>
  <si>
    <t xml:space="preserve">         Reserve - Operating Expenses</t>
  </si>
  <si>
    <t xml:space="preserve">      Total Non-current Liabilities</t>
  </si>
  <si>
    <t xml:space="preserve">   Total Liabilities</t>
  </si>
  <si>
    <t xml:space="preserve">   Equity</t>
  </si>
  <si>
    <t xml:space="preserve">      Opening Balance Equity</t>
  </si>
  <si>
    <t xml:space="preserve">      Retained Earnings</t>
  </si>
  <si>
    <t xml:space="preserve">      Profit for the year</t>
  </si>
  <si>
    <t xml:space="preserve">   Total Equity</t>
  </si>
  <si>
    <t>Total Liabilities and Equity</t>
  </si>
  <si>
    <t>Sunday, Feb. 27, 2022 12:18:37 p.m. GMT-8 - Accrual Basis</t>
  </si>
  <si>
    <t>Procedure 1) Determine materiality</t>
  </si>
  <si>
    <t>Profit and Loss</t>
  </si>
  <si>
    <t>January - December 2021</t>
  </si>
  <si>
    <t>Jan - Dec. 2021</t>
  </si>
  <si>
    <t>Jan - Dec. 2020 (PY)</t>
  </si>
  <si>
    <t xml:space="preserve">   INCOME</t>
  </si>
  <si>
    <t xml:space="preserve">      ACU Community Grant</t>
  </si>
  <si>
    <t xml:space="preserve">      Building Sustainable Communities #1</t>
  </si>
  <si>
    <t xml:space="preserve">      Building Sustainable Communities #2</t>
  </si>
  <si>
    <t xml:space="preserve">      Canada Summer Jobs Program</t>
  </si>
  <si>
    <t xml:space="preserve">      Colleges &amp; Institutes Canada</t>
  </si>
  <si>
    <t xml:space="preserve">      Conservation &amp; Climate Fund</t>
  </si>
  <si>
    <t xml:space="preserve">      Donations</t>
  </si>
  <si>
    <t xml:space="preserve">      Grants</t>
  </si>
  <si>
    <t xml:space="preserve">      Grants - Heritage</t>
  </si>
  <si>
    <t xml:space="preserve">      Healthy Hire Manitoba</t>
  </si>
  <si>
    <t xml:space="preserve">      Memberships</t>
  </si>
  <si>
    <t xml:space="preserve">      Red River Co-op Grant</t>
  </si>
  <si>
    <t xml:space="preserve">      Revenue - Bike Valet</t>
  </si>
  <si>
    <t xml:space="preserve">      Revenue - Outreach</t>
  </si>
  <si>
    <t xml:space="preserve">      Revenue - Paid Rides</t>
  </si>
  <si>
    <t xml:space="preserve">      Sales</t>
  </si>
  <si>
    <t xml:space="preserve">      Sponsorship Revenue</t>
  </si>
  <si>
    <t xml:space="preserve">      Transfer from Reserve</t>
  </si>
  <si>
    <t xml:space="preserve">      Unallocated Grant Income</t>
  </si>
  <si>
    <t xml:space="preserve">   Total Income</t>
  </si>
  <si>
    <t xml:space="preserve">   COST OF GOODS SOLD</t>
  </si>
  <si>
    <t xml:space="preserve">      Expense - Bike Rack Program</t>
  </si>
  <si>
    <t xml:space="preserve">      Expense - Bike Valet</t>
  </si>
  <si>
    <t xml:space="preserve">   Total Cost of Goods Sold</t>
  </si>
  <si>
    <t>GROSS PROFIT</t>
  </si>
  <si>
    <t>EXPENSES</t>
  </si>
  <si>
    <t xml:space="preserve">   Add'l Grant Expenses</t>
  </si>
  <si>
    <t xml:space="preserve">   Add'l Grant Expenses - training</t>
  </si>
  <si>
    <t xml:space="preserve">   Advocacy</t>
  </si>
  <si>
    <t xml:space="preserve">   AGM</t>
  </si>
  <si>
    <t xml:space="preserve">   Bank charges</t>
  </si>
  <si>
    <t xml:space="preserve">   Bicycle Designer</t>
  </si>
  <si>
    <t xml:space="preserve">   Bike Share Feasibility Study</t>
  </si>
  <si>
    <t xml:space="preserve">   Bikeshare Researcher</t>
  </si>
  <si>
    <t xml:space="preserve">   Communications Strategist</t>
  </si>
  <si>
    <t xml:space="preserve">   Depreciation (all assets)</t>
  </si>
  <si>
    <t xml:space="preserve">   Dreamhost</t>
  </si>
  <si>
    <t xml:space="preserve">   Events Coordinator</t>
  </si>
  <si>
    <t xml:space="preserve">   Executive Director</t>
  </si>
  <si>
    <t xml:space="preserve">   Executive Director Bonus</t>
  </si>
  <si>
    <t xml:space="preserve">   Fundraising Exp</t>
  </si>
  <si>
    <t xml:space="preserve">   Imagine Canada Grant Connect</t>
  </si>
  <si>
    <t xml:space="preserve">   Imagine Canada Subscription</t>
  </si>
  <si>
    <t xml:space="preserve">   Insurance</t>
  </si>
  <si>
    <t xml:space="preserve">   Insurance - Liability</t>
  </si>
  <si>
    <t xml:space="preserve">   Interest expense</t>
  </si>
  <si>
    <t xml:space="preserve">   Local Bike Groups Coordinator</t>
  </si>
  <si>
    <t xml:space="preserve">   Membership Dues</t>
  </si>
  <si>
    <t xml:space="preserve">   OCB Grant Exp</t>
  </si>
  <si>
    <t xml:space="preserve">   Office Rental</t>
  </si>
  <si>
    <t xml:space="preserve">   Other general and administrative expenses</t>
  </si>
  <si>
    <t xml:space="preserve">   Outreach</t>
  </si>
  <si>
    <t xml:space="preserve">   Outreach - Paid Rides</t>
  </si>
  <si>
    <t xml:space="preserve">   Paypal Fees</t>
  </si>
  <si>
    <t xml:space="preserve">   Policy Strategist</t>
  </si>
  <si>
    <t xml:space="preserve">   Professional Development</t>
  </si>
  <si>
    <t xml:space="preserve">   Quickbooks</t>
  </si>
  <si>
    <t xml:space="preserve">   Timesheets.com</t>
  </si>
  <si>
    <t xml:space="preserve">   Transportation Survey Researcher</t>
  </si>
  <si>
    <t xml:space="preserve">   Videographer</t>
  </si>
  <si>
    <t xml:space="preserve">   Volunteer Appreciation</t>
  </si>
  <si>
    <t xml:space="preserve">   Volunteer Coordinator</t>
  </si>
  <si>
    <t xml:space="preserve">   Web Developer</t>
  </si>
  <si>
    <t>Total Expenses</t>
  </si>
  <si>
    <t>OTHER INCOME</t>
  </si>
  <si>
    <t xml:space="preserve">   Interest earned</t>
  </si>
  <si>
    <t>Total Other Income</t>
  </si>
  <si>
    <t>PROFIT</t>
  </si>
  <si>
    <t>Sunday, Feb. 27, 2022 12:20:26 p.m. GMT-8 - Accrual Basis</t>
  </si>
  <si>
    <t>Total Revenue</t>
  </si>
  <si>
    <t>Total Net Income</t>
  </si>
  <si>
    <t>Benchmark %</t>
  </si>
  <si>
    <t xml:space="preserve">Amount </t>
  </si>
  <si>
    <t>Materiality</t>
  </si>
  <si>
    <t>Procedure 2) Balance sheet analysis - see /2</t>
  </si>
  <si>
    <t>Procedure 3) Income statement analysis -  see /3</t>
  </si>
  <si>
    <t>Analytic threshold - $3000 + 10% change</t>
  </si>
  <si>
    <t>Inquiries</t>
  </si>
  <si>
    <t>Please provide explanations for highlighted variances.</t>
  </si>
  <si>
    <t>Procedure 4) Ratio Analysis</t>
  </si>
  <si>
    <t>Current Ratio</t>
  </si>
  <si>
    <t>Current Assets</t>
  </si>
  <si>
    <t>Current Liabilities</t>
  </si>
  <si>
    <t>Total Cash</t>
  </si>
  <si>
    <t>Total Expenses (less depreciation)</t>
  </si>
  <si>
    <t>Days Cash on Hand</t>
  </si>
  <si>
    <t>Due to significant decrease in accounts payable. See /2</t>
  </si>
  <si>
    <t>Cash experienced many swings throughout the year between receipts of grant revenue, outflows of payroll. Net outflow primarily due to capital asset additions throughout the year.</t>
  </si>
  <si>
    <t>In 2020, there was a large receivable from the City of Winnipeg for the bike rack parking programs, received in 2021, causing the decline. Current amount includes Canadian Conservation Grant, Healthy Hire Grant (both received in 2021) and matching portion from Giving Day.</t>
  </si>
  <si>
    <t>See above</t>
  </si>
  <si>
    <t>Inventory consists of Bike Winnipeg T-Shirts. No change year over year.</t>
  </si>
  <si>
    <t>Increase consists of primarily materials and  labour for building temporary bike racks for Bike Valet usage, as well as signage and set up for a drill press.</t>
  </si>
  <si>
    <t xml:space="preserve">Increase consists of 45' fencing material for the bike valet set up. </t>
  </si>
  <si>
    <t>Increase relates to materials for 2 E-Bikes developed during the year.</t>
  </si>
  <si>
    <t xml:space="preserve">Acqusition of drill press for bike valet racks </t>
  </si>
  <si>
    <t xml:space="preserve">Decrease due to following significant balances in prior year: $14K owing for Bike Rack Parking Developers. $7K related to unrecorded labour. </t>
  </si>
  <si>
    <t>Mark has 3 weeks vacation, so 6% being accrued with each pay.</t>
  </si>
  <si>
    <t xml:space="preserve"> Part of the agreement with the Bike Valet manager, is that $500 is to be deducted from the payable to the bike manager. Bike WPG receives a 15% management fee, and is to deduct $500 from each payment to savings. PDW Misty, will be taken to finance committee to determine real value of liability owing with subsequent payout to Bike Valet Manager. Remainder to be reclassed to equity.</t>
  </si>
  <si>
    <t>Manitoba Bridge Grant - received $20K during the year. Recognized $11.6K. Retaining $8.3K provision for audit purposes.</t>
  </si>
  <si>
    <t xml:space="preserve">Refer to /2 for balance sheet explanation. Portion of MB Bridge financing grant recognized in 2021. </t>
  </si>
  <si>
    <t>Did not receive BSC grant in 2021.</t>
  </si>
  <si>
    <t>Timing of receipts, last payment received in 2021.</t>
  </si>
  <si>
    <t>New grant in 2021, some related expenses already made in 2020.</t>
  </si>
  <si>
    <t>Increase in donations due to giving Tuesday challenge. Received $5500 in donations + $1800 matching from Bikes &amp; Beyond and one other company.</t>
  </si>
  <si>
    <t xml:space="preserve">Every year we receive $2000 from Green Action Centre for the B.E.S.T. (Bike Educaiton in School).  Previous year included grants from ACU and Co-operative. </t>
  </si>
  <si>
    <t xml:space="preserve">Income relates to bike parking contract in 2020. Some grant remaining but no projects done in 2021. </t>
  </si>
  <si>
    <t>Expense side of the above bike parking contract.</t>
  </si>
  <si>
    <t>Expenses relate to bikeshare program - covered by grants.</t>
  </si>
  <si>
    <t>Part of the Canada Jobs Grant for 2020 that were project specific to 2020.</t>
  </si>
  <si>
    <t>Related to develop of BW Communications Strategy</t>
  </si>
  <si>
    <t>Wage increase in 2021 for Executive Director.</t>
  </si>
  <si>
    <t>More web design work done in 2020.</t>
  </si>
  <si>
    <t>Misty to get back to me. Organization capacity development. $1000 pertains to laptop for Mark.</t>
  </si>
  <si>
    <t>Part of the conservation and climate grant. BW sponsored survey done in partnership with IRCOM and Winnipeg Trails. Related to BikeShare.</t>
  </si>
  <si>
    <t>Due to the decrease in cash and greater expenses in 2021. See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</si>
</sst>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_€"/>
    <numFmt numFmtId="165" formatCode="&quot;$&quot;* #,##0.00\ _€"/>
    <numFmt numFmtId="166" formatCode="_-* #,##0_-;\-* #,##0_-;_-* &quot;-&quot;??_-;_-@_-"/>
  </numFmts>
  <fonts count="1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scheme val="minor"/>
    </font>
    <font>
      <b/>
      <sz val="14"/>
      <color indexed="8"/>
      <name val="Arial"/>
      <family val="2"/>
    </font>
    <font>
      <b/>
      <sz val="10"/>
      <color indexed="8"/>
      <name val="Arial"/>
      <family val="2"/>
    </font>
    <font>
      <b/>
      <sz val="9"/>
      <color indexed="8"/>
      <name val="Arial"/>
      <family val="2"/>
    </font>
    <font>
      <b/>
      <sz val="8"/>
      <color indexed="8"/>
      <name val="Arial"/>
      <family val="2"/>
    </font>
    <font>
      <sz val="8"/>
      <color indexed="8"/>
      <name val="Arial"/>
      <family val="2"/>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auto="1"/>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34">
    <xf numFmtId="0" fontId="0" fillId="0" borderId="0" xfId="0"/>
    <xf numFmtId="0" fontId="3" fillId="0" borderId="0" xfId="0" applyFont="1"/>
    <xf numFmtId="0" fontId="4" fillId="0" borderId="0" xfId="3"/>
    <xf numFmtId="0" fontId="4" fillId="0" borderId="0" xfId="3" applyAlignment="1">
      <alignment wrapText="1"/>
    </xf>
    <xf numFmtId="0" fontId="7" fillId="0" borderId="1" xfId="3" applyFont="1" applyBorder="1" applyAlignment="1">
      <alignment horizontal="center" wrapText="1"/>
    </xf>
    <xf numFmtId="0" fontId="8" fillId="0" borderId="0" xfId="3" applyFont="1" applyAlignment="1">
      <alignment horizontal="left" wrapText="1"/>
    </xf>
    <xf numFmtId="164" fontId="9" fillId="0" borderId="0" xfId="3" applyNumberFormat="1" applyFont="1" applyAlignment="1">
      <alignment wrapText="1"/>
    </xf>
    <xf numFmtId="164" fontId="9" fillId="0" borderId="0" xfId="3" applyNumberFormat="1" applyFont="1" applyAlignment="1">
      <alignment horizontal="right" wrapText="1"/>
    </xf>
    <xf numFmtId="10" fontId="9" fillId="0" borderId="0" xfId="3" applyNumberFormat="1" applyFont="1" applyAlignment="1">
      <alignment horizontal="right" wrapText="1"/>
    </xf>
    <xf numFmtId="165" fontId="8" fillId="0" borderId="2" xfId="3" applyNumberFormat="1" applyFont="1" applyBorder="1" applyAlignment="1">
      <alignment horizontal="right" wrapText="1"/>
    </xf>
    <xf numFmtId="10" fontId="8" fillId="0" borderId="2" xfId="3" applyNumberFormat="1" applyFont="1" applyBorder="1" applyAlignment="1">
      <alignment horizontal="right" wrapText="1"/>
    </xf>
    <xf numFmtId="0" fontId="0" fillId="0" borderId="0" xfId="0" applyFont="1"/>
    <xf numFmtId="166" fontId="0" fillId="0" borderId="0" xfId="1" applyNumberFormat="1" applyFont="1"/>
    <xf numFmtId="9" fontId="0" fillId="0" borderId="0" xfId="0" applyNumberFormat="1"/>
    <xf numFmtId="166" fontId="0" fillId="0" borderId="0" xfId="0" applyNumberFormat="1"/>
    <xf numFmtId="0" fontId="10" fillId="0" borderId="0" xfId="3" applyFont="1"/>
    <xf numFmtId="165" fontId="8" fillId="2" borderId="2" xfId="3" applyNumberFormat="1" applyFont="1" applyFill="1" applyBorder="1" applyAlignment="1">
      <alignment horizontal="right" wrapText="1"/>
    </xf>
    <xf numFmtId="10" fontId="8" fillId="2" borderId="2" xfId="3" applyNumberFormat="1" applyFont="1" applyFill="1" applyBorder="1" applyAlignment="1">
      <alignment horizontal="right" wrapText="1"/>
    </xf>
    <xf numFmtId="0" fontId="2" fillId="0" borderId="0" xfId="3" applyFont="1"/>
    <xf numFmtId="0" fontId="2" fillId="2" borderId="0" xfId="3" applyFont="1" applyFill="1"/>
    <xf numFmtId="0" fontId="4" fillId="2" borderId="0" xfId="3" applyFill="1"/>
    <xf numFmtId="164" fontId="9" fillId="2" borderId="0" xfId="3" applyNumberFormat="1" applyFont="1" applyFill="1" applyAlignment="1">
      <alignment horizontal="right" wrapText="1"/>
    </xf>
    <xf numFmtId="10" fontId="9" fillId="2" borderId="0" xfId="3" applyNumberFormat="1" applyFont="1" applyFill="1" applyAlignment="1">
      <alignment horizontal="right" wrapText="1"/>
    </xf>
    <xf numFmtId="2" fontId="3" fillId="0" borderId="0" xfId="0" applyNumberFormat="1" applyFont="1"/>
    <xf numFmtId="9" fontId="3" fillId="0" borderId="0" xfId="2" applyFont="1"/>
    <xf numFmtId="166" fontId="3" fillId="0" borderId="0" xfId="1" applyNumberFormat="1" applyFont="1"/>
    <xf numFmtId="0" fontId="2" fillId="0" borderId="0" xfId="0" applyFont="1"/>
    <xf numFmtId="0" fontId="2" fillId="0" borderId="0" xfId="3" applyFont="1" applyAlignment="1">
      <alignment horizontal="left" wrapText="1"/>
    </xf>
    <xf numFmtId="0" fontId="5" fillId="0" borderId="0" xfId="3" applyFont="1" applyAlignment="1">
      <alignment horizontal="center"/>
    </xf>
    <xf numFmtId="0" fontId="4" fillId="0" borderId="0" xfId="3"/>
    <xf numFmtId="0" fontId="6" fillId="0" borderId="0" xfId="3" applyFont="1" applyAlignment="1">
      <alignment horizontal="center"/>
    </xf>
    <xf numFmtId="0" fontId="7" fillId="0" borderId="1" xfId="3" applyFont="1" applyBorder="1" applyAlignment="1">
      <alignment horizontal="center" wrapText="1"/>
    </xf>
    <xf numFmtId="0" fontId="4" fillId="0" borderId="0" xfId="3" applyAlignment="1">
      <alignment wrapText="1"/>
    </xf>
    <xf numFmtId="0" fontId="9" fillId="0" borderId="0" xfId="3" applyFont="1" applyAlignment="1">
      <alignment horizontal="center"/>
    </xf>
  </cellXfs>
  <cellStyles count="4">
    <cellStyle name="Comma" xfId="1" builtinId="3"/>
    <cellStyle name="Normal" xfId="0" builtinId="0"/>
    <cellStyle name="Normal 2" xfId="3" xr:uid="{38A32379-F0C8-4599-9370-489019D74C3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topLeftCell="A7" workbookViewId="0">
      <selection activeCell="F32" sqref="F32"/>
    </sheetView>
  </sheetViews>
  <sheetFormatPr defaultRowHeight="14.4" x14ac:dyDescent="0.3"/>
  <cols>
    <col min="1" max="1" width="30.6640625" customWidth="1"/>
    <col min="2" max="2" width="10.33203125" bestFit="1" customWidth="1"/>
    <col min="3" max="3" width="11.44140625" bestFit="1" customWidth="1"/>
    <col min="4" max="4" width="16.44140625" customWidth="1"/>
    <col min="5" max="5" width="9.33203125" bestFit="1" customWidth="1"/>
  </cols>
  <sheetData>
    <row r="1" spans="1:5" x14ac:dyDescent="0.3">
      <c r="A1" s="1" t="s">
        <v>0</v>
      </c>
    </row>
    <row r="2" spans="1:5" x14ac:dyDescent="0.3">
      <c r="A2" s="1" t="s">
        <v>1</v>
      </c>
    </row>
    <row r="3" spans="1:5" x14ac:dyDescent="0.3">
      <c r="A3" s="1" t="s">
        <v>2</v>
      </c>
    </row>
    <row r="5" spans="1:5" x14ac:dyDescent="0.3">
      <c r="A5" s="1" t="s">
        <v>3</v>
      </c>
      <c r="B5" t="s">
        <v>4</v>
      </c>
    </row>
    <row r="7" spans="1:5" x14ac:dyDescent="0.3">
      <c r="A7" s="11" t="s">
        <v>77</v>
      </c>
    </row>
    <row r="8" spans="1:5" x14ac:dyDescent="0.3">
      <c r="C8" s="1" t="s">
        <v>155</v>
      </c>
      <c r="D8" s="1" t="s">
        <v>154</v>
      </c>
    </row>
    <row r="9" spans="1:5" x14ac:dyDescent="0.3">
      <c r="A9" t="s">
        <v>152</v>
      </c>
      <c r="C9" s="12">
        <f>'3- Profit and Loss'!B27</f>
        <v>110256.16</v>
      </c>
      <c r="D9" s="13">
        <v>0.04</v>
      </c>
      <c r="E9" s="14">
        <f>C9*D9</f>
        <v>4410.2464</v>
      </c>
    </row>
    <row r="10" spans="1:5" x14ac:dyDescent="0.3">
      <c r="A10" t="s">
        <v>146</v>
      </c>
      <c r="C10" s="14">
        <f>'3- Profit and Loss'!B71</f>
        <v>78602.26999999999</v>
      </c>
      <c r="D10" s="13">
        <v>0.04</v>
      </c>
      <c r="E10" s="14">
        <f t="shared" ref="E10:E12" si="0">C10*D10</f>
        <v>3144.0907999999995</v>
      </c>
    </row>
    <row r="11" spans="1:5" x14ac:dyDescent="0.3">
      <c r="A11" t="s">
        <v>153</v>
      </c>
      <c r="C11" s="14">
        <f>'3- Profit and Loss'!B75</f>
        <v>29565.210000000014</v>
      </c>
      <c r="D11" s="13">
        <v>0.1</v>
      </c>
      <c r="E11" s="14">
        <f t="shared" si="0"/>
        <v>2956.5210000000015</v>
      </c>
    </row>
    <row r="12" spans="1:5" x14ac:dyDescent="0.3">
      <c r="A12" t="s">
        <v>49</v>
      </c>
      <c r="C12" s="14">
        <f>'2 - Balance Sheet'!B43</f>
        <v>50629.65</v>
      </c>
      <c r="D12" s="13">
        <v>0.03</v>
      </c>
      <c r="E12" s="14">
        <f t="shared" si="0"/>
        <v>1518.8895</v>
      </c>
    </row>
    <row r="14" spans="1:5" x14ac:dyDescent="0.3">
      <c r="A14" t="s">
        <v>156</v>
      </c>
      <c r="E14" s="25">
        <v>3000</v>
      </c>
    </row>
    <row r="16" spans="1:5" x14ac:dyDescent="0.3">
      <c r="A16" t="s">
        <v>157</v>
      </c>
    </row>
    <row r="18" spans="1:6" x14ac:dyDescent="0.3">
      <c r="A18" t="s">
        <v>158</v>
      </c>
    </row>
    <row r="20" spans="1:6" x14ac:dyDescent="0.3">
      <c r="A20" t="s">
        <v>162</v>
      </c>
    </row>
    <row r="22" spans="1:6" x14ac:dyDescent="0.3">
      <c r="B22" s="1">
        <v>2021</v>
      </c>
      <c r="C22" s="1">
        <v>2020</v>
      </c>
    </row>
    <row r="24" spans="1:6" x14ac:dyDescent="0.3">
      <c r="A24" t="s">
        <v>164</v>
      </c>
      <c r="B24">
        <f>'2 - Balance Sheet'!B22</f>
        <v>21968.17</v>
      </c>
      <c r="C24">
        <f>'2 - Balance Sheet'!C22</f>
        <v>31543.769999999997</v>
      </c>
    </row>
    <row r="25" spans="1:6" x14ac:dyDescent="0.3">
      <c r="A25" t="s">
        <v>165</v>
      </c>
      <c r="B25">
        <f>'2 - Balance Sheet'!B57</f>
        <v>8290.67</v>
      </c>
      <c r="C25">
        <f>'2 - Balance Sheet'!C57</f>
        <v>32859.01</v>
      </c>
    </row>
    <row r="26" spans="1:6" x14ac:dyDescent="0.3">
      <c r="A26" s="1" t="s">
        <v>163</v>
      </c>
      <c r="B26" s="23">
        <f>B24/B25</f>
        <v>2.6497460398254904</v>
      </c>
      <c r="C26" s="23">
        <f>C24/C25</f>
        <v>0.95997323108638988</v>
      </c>
      <c r="D26" s="23">
        <f>B26-C26</f>
        <v>1.6897728087391006</v>
      </c>
      <c r="E26" s="24">
        <f>D26/C26</f>
        <v>1.7602290918329104</v>
      </c>
      <c r="F26" s="26" t="s">
        <v>169</v>
      </c>
    </row>
    <row r="29" spans="1:6" x14ac:dyDescent="0.3">
      <c r="A29" t="s">
        <v>166</v>
      </c>
      <c r="B29" s="12">
        <f>'2 - Balance Sheet'!B14</f>
        <v>7420.89</v>
      </c>
      <c r="C29" s="12">
        <f>'2 - Balance Sheet'!C14</f>
        <v>11541.74</v>
      </c>
    </row>
    <row r="30" spans="1:6" x14ac:dyDescent="0.3">
      <c r="A30" t="s">
        <v>167</v>
      </c>
      <c r="B30" s="12">
        <f>'3- Profit and Loss'!B71-'3- Profit and Loss'!B43</f>
        <v>74241.849999999991</v>
      </c>
      <c r="C30" s="12">
        <f>'3- Profit and Loss'!C71-'3- Profit and Loss'!C43</f>
        <v>65753.02</v>
      </c>
    </row>
    <row r="31" spans="1:6" x14ac:dyDescent="0.3">
      <c r="A31" s="1" t="s">
        <v>168</v>
      </c>
      <c r="B31" s="25">
        <f>B29/(B30/365)</f>
        <v>36.483800578784077</v>
      </c>
      <c r="C31" s="25">
        <f>C29/(C30/365)</f>
        <v>64.06907393759252</v>
      </c>
      <c r="D31" s="23">
        <f>B31-C31</f>
        <v>-27.585273358808443</v>
      </c>
      <c r="E31" s="24">
        <f>D31/C31</f>
        <v>-0.4305552064897693</v>
      </c>
      <c r="F31" s="26" t="s">
        <v>197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5C1D2-4C82-4904-994C-0ED40161C118}">
  <dimension ref="A1:Q73"/>
  <sheetViews>
    <sheetView topLeftCell="A22" workbookViewId="0">
      <selection activeCell="F61" sqref="F61"/>
    </sheetView>
  </sheetViews>
  <sheetFormatPr defaultRowHeight="14.4" x14ac:dyDescent="0.3"/>
  <cols>
    <col min="1" max="1" width="43" style="2" customWidth="1"/>
    <col min="2" max="2" width="9.44140625" style="2" customWidth="1"/>
    <col min="3" max="3" width="10.33203125" style="2" customWidth="1"/>
    <col min="4" max="4" width="11.21875" style="2" customWidth="1"/>
    <col min="5" max="5" width="9.44140625" style="2" customWidth="1"/>
    <col min="6" max="16384" width="8.88671875" style="2"/>
  </cols>
  <sheetData>
    <row r="1" spans="1:14" ht="17.399999999999999" x14ac:dyDescent="0.3">
      <c r="A1" s="28" t="s">
        <v>5</v>
      </c>
      <c r="B1" s="29"/>
      <c r="C1" s="29"/>
      <c r="D1" s="29"/>
      <c r="E1" s="29"/>
    </row>
    <row r="2" spans="1:14" ht="17.399999999999999" x14ac:dyDescent="0.3">
      <c r="A2" s="28" t="s">
        <v>6</v>
      </c>
      <c r="B2" s="29"/>
      <c r="C2" s="29"/>
      <c r="D2" s="29"/>
      <c r="E2" s="29"/>
      <c r="F2" s="19" t="s">
        <v>161</v>
      </c>
      <c r="G2" s="20"/>
      <c r="H2" s="20"/>
      <c r="I2" s="20"/>
      <c r="J2" s="20"/>
    </row>
    <row r="3" spans="1:14" x14ac:dyDescent="0.3">
      <c r="A3" s="30" t="s">
        <v>7</v>
      </c>
      <c r="B3" s="29"/>
      <c r="C3" s="29"/>
      <c r="D3" s="29"/>
      <c r="E3" s="29"/>
    </row>
    <row r="4" spans="1:14" x14ac:dyDescent="0.3">
      <c r="F4" s="15" t="s">
        <v>159</v>
      </c>
    </row>
    <row r="5" spans="1:14" x14ac:dyDescent="0.3">
      <c r="A5" s="3"/>
      <c r="B5" s="31" t="s">
        <v>8</v>
      </c>
      <c r="C5" s="32"/>
      <c r="D5" s="32"/>
      <c r="E5" s="32"/>
    </row>
    <row r="6" spans="1:14" ht="36.6" x14ac:dyDescent="0.3">
      <c r="A6" s="3"/>
      <c r="B6" s="4" t="s">
        <v>9</v>
      </c>
      <c r="C6" s="4" t="s">
        <v>10</v>
      </c>
      <c r="D6" s="4" t="s">
        <v>11</v>
      </c>
      <c r="E6" s="4" t="s">
        <v>12</v>
      </c>
      <c r="F6" s="18" t="s">
        <v>160</v>
      </c>
    </row>
    <row r="7" spans="1:14" x14ac:dyDescent="0.3">
      <c r="A7" s="5" t="s">
        <v>13</v>
      </c>
      <c r="B7" s="6"/>
      <c r="C7" s="6"/>
      <c r="D7" s="6"/>
      <c r="E7" s="6"/>
    </row>
    <row r="8" spans="1:14" x14ac:dyDescent="0.3">
      <c r="A8" s="5" t="s">
        <v>14</v>
      </c>
      <c r="B8" s="6"/>
      <c r="C8" s="6"/>
      <c r="D8" s="6"/>
      <c r="E8" s="6"/>
    </row>
    <row r="9" spans="1:14" x14ac:dyDescent="0.3">
      <c r="A9" s="5" t="s">
        <v>15</v>
      </c>
      <c r="B9" s="6"/>
      <c r="C9" s="6"/>
      <c r="D9" s="6"/>
      <c r="E9" s="6"/>
    </row>
    <row r="10" spans="1:14" x14ac:dyDescent="0.3">
      <c r="A10" s="5" t="s">
        <v>16</v>
      </c>
      <c r="B10" s="7">
        <f>495.01</f>
        <v>495.01</v>
      </c>
      <c r="C10" s="7">
        <f>1641.72</f>
        <v>1641.72</v>
      </c>
      <c r="D10" s="7">
        <f>(B10)-(C10)</f>
        <v>-1146.71</v>
      </c>
      <c r="E10" s="8">
        <f>IF(ABS((C10))=0,"",((B10)-(C10))/(ABS((C10))))</f>
        <v>-0.69848086153546285</v>
      </c>
    </row>
    <row r="11" spans="1:14" x14ac:dyDescent="0.3">
      <c r="A11" s="5" t="s">
        <v>17</v>
      </c>
      <c r="B11" s="7">
        <f>4996.92</f>
        <v>4996.92</v>
      </c>
      <c r="C11" s="7">
        <f>9900.02</f>
        <v>9900.02</v>
      </c>
      <c r="D11" s="7">
        <f>(B11)-(C11)</f>
        <v>-4903.1000000000004</v>
      </c>
      <c r="E11" s="8">
        <f>IF(ABS((C11))=0,"",((B11)-(C11))/(ABS((C11))))</f>
        <v>-0.49526162573408944</v>
      </c>
    </row>
    <row r="12" spans="1:14" x14ac:dyDescent="0.3">
      <c r="A12" s="5" t="s">
        <v>18</v>
      </c>
      <c r="B12" s="7">
        <f>0</f>
        <v>0</v>
      </c>
      <c r="C12" s="7">
        <f>0</f>
        <v>0</v>
      </c>
      <c r="D12" s="7">
        <f>(B12)-(C12)</f>
        <v>0</v>
      </c>
      <c r="E12" s="8" t="str">
        <f>IF(ABS((C12))=0,"",((B12)-(C12))/(ABS((C12))))</f>
        <v/>
      </c>
    </row>
    <row r="13" spans="1:14" x14ac:dyDescent="0.3">
      <c r="A13" s="5" t="s">
        <v>19</v>
      </c>
      <c r="B13" s="7">
        <f>1928.96</f>
        <v>1928.96</v>
      </c>
      <c r="C13" s="6"/>
      <c r="D13" s="7">
        <f>(B13)-(C13)</f>
        <v>1928.96</v>
      </c>
      <c r="E13" s="8" t="str">
        <f>IF(ABS((C13))=0,"",((B13)-(C13))/(ABS((C13))))</f>
        <v/>
      </c>
    </row>
    <row r="14" spans="1:14" ht="30" customHeight="1" x14ac:dyDescent="0.3">
      <c r="A14" s="5" t="s">
        <v>20</v>
      </c>
      <c r="B14" s="9">
        <f>(((B10)+(B11))+(B12))+(B13)</f>
        <v>7420.89</v>
      </c>
      <c r="C14" s="9">
        <f>(((C10)+(C11))+(C12))+(C13)</f>
        <v>11541.74</v>
      </c>
      <c r="D14" s="16">
        <f>(B14)-(C14)</f>
        <v>-4120.8499999999995</v>
      </c>
      <c r="E14" s="17">
        <f>IF(ABS((C14))=0,"",((B14)-(C14))/(ABS((C14))))</f>
        <v>-0.35703888668433004</v>
      </c>
      <c r="F14" s="27" t="s">
        <v>170</v>
      </c>
      <c r="G14" s="27"/>
      <c r="H14" s="27"/>
      <c r="I14" s="27"/>
      <c r="J14" s="27"/>
      <c r="K14" s="27"/>
      <c r="L14" s="27"/>
      <c r="M14" s="27"/>
      <c r="N14" s="27"/>
    </row>
    <row r="15" spans="1:14" x14ac:dyDescent="0.3">
      <c r="A15" s="5" t="s">
        <v>21</v>
      </c>
      <c r="B15" s="6"/>
      <c r="C15" s="6"/>
      <c r="D15" s="6"/>
      <c r="E15" s="6"/>
    </row>
    <row r="16" spans="1:14" x14ac:dyDescent="0.3">
      <c r="A16" s="5" t="s">
        <v>22</v>
      </c>
      <c r="B16" s="7">
        <f>1050</f>
        <v>1050</v>
      </c>
      <c r="C16" s="7">
        <f>300</f>
        <v>300</v>
      </c>
      <c r="D16" s="7">
        <f t="shared" ref="D16:D22" si="0">(B16)-(C16)</f>
        <v>750</v>
      </c>
      <c r="E16" s="8">
        <f t="shared" ref="E16:E22" si="1">IF(ABS((C16))=0,"",((B16)-(C16))/(ABS((C16))))</f>
        <v>2.5</v>
      </c>
    </row>
    <row r="17" spans="1:16" ht="46.2" customHeight="1" x14ac:dyDescent="0.3">
      <c r="A17" s="5" t="s">
        <v>23</v>
      </c>
      <c r="B17" s="7">
        <f>12033</f>
        <v>12033</v>
      </c>
      <c r="C17" s="7">
        <f>19159.53</f>
        <v>19159.53</v>
      </c>
      <c r="D17" s="7">
        <f t="shared" si="0"/>
        <v>-7126.5299999999988</v>
      </c>
      <c r="E17" s="8">
        <f t="shared" si="1"/>
        <v>-0.37195745407115932</v>
      </c>
      <c r="F17" s="27" t="s">
        <v>171</v>
      </c>
      <c r="G17" s="27"/>
      <c r="H17" s="27"/>
      <c r="I17" s="27"/>
      <c r="J17" s="27"/>
      <c r="K17" s="27"/>
      <c r="L17" s="27"/>
      <c r="M17" s="27"/>
      <c r="N17" s="27"/>
      <c r="O17" s="27"/>
      <c r="P17" s="27"/>
    </row>
    <row r="18" spans="1:16" x14ac:dyDescent="0.3">
      <c r="A18" s="5" t="s">
        <v>24</v>
      </c>
      <c r="B18" s="7">
        <f>0</f>
        <v>0</v>
      </c>
      <c r="C18" s="6"/>
      <c r="D18" s="7">
        <f t="shared" si="0"/>
        <v>0</v>
      </c>
      <c r="E18" s="8" t="str">
        <f t="shared" si="1"/>
        <v/>
      </c>
    </row>
    <row r="19" spans="1:16" x14ac:dyDescent="0.3">
      <c r="A19" s="5" t="s">
        <v>25</v>
      </c>
      <c r="B19" s="9">
        <f>((B16)+(B17))+(B18)</f>
        <v>13083</v>
      </c>
      <c r="C19" s="9">
        <f>((C16)+(C17))+(C18)</f>
        <v>19459.53</v>
      </c>
      <c r="D19" s="16">
        <f t="shared" si="0"/>
        <v>-6376.5299999999988</v>
      </c>
      <c r="E19" s="17">
        <f t="shared" si="1"/>
        <v>-0.32768160382085276</v>
      </c>
      <c r="F19" s="18" t="s">
        <v>172</v>
      </c>
    </row>
    <row r="20" spans="1:16" x14ac:dyDescent="0.3">
      <c r="A20" s="5" t="s">
        <v>26</v>
      </c>
      <c r="B20" s="7">
        <f>532.5</f>
        <v>532.5</v>
      </c>
      <c r="C20" s="7">
        <f>532.5</f>
        <v>532.5</v>
      </c>
      <c r="D20" s="7">
        <f t="shared" si="0"/>
        <v>0</v>
      </c>
      <c r="E20" s="8">
        <f t="shared" si="1"/>
        <v>0</v>
      </c>
      <c r="F20" s="18" t="s">
        <v>173</v>
      </c>
    </row>
    <row r="21" spans="1:16" x14ac:dyDescent="0.3">
      <c r="A21" s="5" t="s">
        <v>27</v>
      </c>
      <c r="B21" s="7">
        <f>931.78</f>
        <v>931.78</v>
      </c>
      <c r="C21" s="7">
        <f>10</f>
        <v>10</v>
      </c>
      <c r="D21" s="7">
        <f t="shared" si="0"/>
        <v>921.78</v>
      </c>
      <c r="E21" s="8">
        <f t="shared" si="1"/>
        <v>92.177999999999997</v>
      </c>
    </row>
    <row r="22" spans="1:16" x14ac:dyDescent="0.3">
      <c r="A22" s="5" t="s">
        <v>28</v>
      </c>
      <c r="B22" s="9">
        <f>(((B14)+(B19))+(B20))+(B21)</f>
        <v>21968.17</v>
      </c>
      <c r="C22" s="9">
        <f>(((C14)+(C19))+(C20))+(C21)</f>
        <v>31543.769999999997</v>
      </c>
      <c r="D22" s="9">
        <f t="shared" si="0"/>
        <v>-9575.5999999999985</v>
      </c>
      <c r="E22" s="10">
        <f t="shared" si="1"/>
        <v>-0.3035654901110425</v>
      </c>
    </row>
    <row r="23" spans="1:16" x14ac:dyDescent="0.3">
      <c r="A23" s="5" t="s">
        <v>29</v>
      </c>
      <c r="B23" s="6"/>
      <c r="C23" s="6"/>
      <c r="D23" s="6"/>
      <c r="E23" s="6"/>
    </row>
    <row r="24" spans="1:16" x14ac:dyDescent="0.3">
      <c r="A24" s="5" t="s">
        <v>30</v>
      </c>
      <c r="B24" s="6"/>
      <c r="C24" s="6"/>
      <c r="D24" s="6"/>
      <c r="E24" s="6"/>
    </row>
    <row r="25" spans="1:16" x14ac:dyDescent="0.3">
      <c r="A25" s="5" t="s">
        <v>31</v>
      </c>
      <c r="B25" s="7">
        <f>-811.16</f>
        <v>-811.16</v>
      </c>
      <c r="C25" s="6"/>
      <c r="D25" s="7">
        <f t="shared" ref="D25:D43" si="2">(B25)-(C25)</f>
        <v>-811.16</v>
      </c>
      <c r="E25" s="8" t="str">
        <f t="shared" ref="E25:E43" si="3">IF(ABS((C25))=0,"",((B25)-(C25))/(ABS((C25))))</f>
        <v/>
      </c>
    </row>
    <row r="26" spans="1:16" x14ac:dyDescent="0.3">
      <c r="A26" s="5" t="s">
        <v>32</v>
      </c>
      <c r="B26" s="7">
        <f>-93.74</f>
        <v>-93.74</v>
      </c>
      <c r="C26" s="6"/>
      <c r="D26" s="7">
        <f t="shared" si="2"/>
        <v>-93.74</v>
      </c>
      <c r="E26" s="8" t="str">
        <f t="shared" si="3"/>
        <v/>
      </c>
    </row>
    <row r="27" spans="1:16" x14ac:dyDescent="0.3">
      <c r="A27" s="5" t="s">
        <v>33</v>
      </c>
      <c r="B27" s="7">
        <f>-2309.25</f>
        <v>-2309.25</v>
      </c>
      <c r="C27" s="7">
        <f>-1731.93</f>
        <v>-1731.93</v>
      </c>
      <c r="D27" s="7">
        <f t="shared" si="2"/>
        <v>-577.31999999999994</v>
      </c>
      <c r="E27" s="8">
        <f t="shared" si="3"/>
        <v>-0.33333910723874516</v>
      </c>
    </row>
    <row r="28" spans="1:16" x14ac:dyDescent="0.3">
      <c r="A28" s="5" t="s">
        <v>34</v>
      </c>
      <c r="B28" s="7">
        <f>-505.13</f>
        <v>-505.13</v>
      </c>
      <c r="C28" s="6"/>
      <c r="D28" s="7">
        <f t="shared" si="2"/>
        <v>-505.13</v>
      </c>
      <c r="E28" s="8" t="str">
        <f t="shared" si="3"/>
        <v/>
      </c>
    </row>
    <row r="29" spans="1:16" x14ac:dyDescent="0.3">
      <c r="A29" s="5" t="s">
        <v>35</v>
      </c>
      <c r="B29" s="7">
        <f>-1469.82</f>
        <v>-1469.82</v>
      </c>
      <c r="C29" s="7">
        <f>-991.98</f>
        <v>-991.98</v>
      </c>
      <c r="D29" s="7">
        <f t="shared" si="2"/>
        <v>-477.83999999999992</v>
      </c>
      <c r="E29" s="8">
        <f t="shared" si="3"/>
        <v>-0.48170326014637382</v>
      </c>
    </row>
    <row r="30" spans="1:16" x14ac:dyDescent="0.3">
      <c r="A30" s="5" t="s">
        <v>36</v>
      </c>
      <c r="B30" s="7">
        <f>-245.83</f>
        <v>-245.83</v>
      </c>
      <c r="C30" s="7">
        <f>-152.55</f>
        <v>-152.55000000000001</v>
      </c>
      <c r="D30" s="7">
        <f t="shared" si="2"/>
        <v>-93.28</v>
      </c>
      <c r="E30" s="8">
        <f t="shared" si="3"/>
        <v>-0.6114716486397902</v>
      </c>
    </row>
    <row r="31" spans="1:16" x14ac:dyDescent="0.3">
      <c r="A31" s="5" t="s">
        <v>37</v>
      </c>
      <c r="B31" s="7">
        <f>-834.02</f>
        <v>-834.02</v>
      </c>
      <c r="C31" s="7">
        <f>-550.38</f>
        <v>-550.38</v>
      </c>
      <c r="D31" s="7">
        <f t="shared" si="2"/>
        <v>-283.64</v>
      </c>
      <c r="E31" s="8">
        <f t="shared" si="3"/>
        <v>-0.51535302881645406</v>
      </c>
    </row>
    <row r="32" spans="1:16" x14ac:dyDescent="0.3">
      <c r="A32" s="5" t="s">
        <v>38</v>
      </c>
      <c r="B32" s="7">
        <f>-1518.31</f>
        <v>-1518.31</v>
      </c>
      <c r="C32" s="6"/>
      <c r="D32" s="7">
        <f t="shared" si="2"/>
        <v>-1518.31</v>
      </c>
      <c r="E32" s="8" t="str">
        <f t="shared" si="3"/>
        <v/>
      </c>
    </row>
    <row r="33" spans="1:6" x14ac:dyDescent="0.3">
      <c r="A33" s="5" t="s">
        <v>39</v>
      </c>
      <c r="B33" s="7">
        <f>5275.85</f>
        <v>5275.85</v>
      </c>
      <c r="C33" s="7">
        <f>5275.85</f>
        <v>5275.85</v>
      </c>
      <c r="D33" s="7">
        <f t="shared" si="2"/>
        <v>0</v>
      </c>
      <c r="E33" s="8">
        <f t="shared" si="3"/>
        <v>0</v>
      </c>
    </row>
    <row r="34" spans="1:6" x14ac:dyDescent="0.3">
      <c r="A34" s="5" t="s">
        <v>40</v>
      </c>
      <c r="B34" s="7">
        <f>8111.62</f>
        <v>8111.62</v>
      </c>
      <c r="C34" s="7">
        <f>2029.51</f>
        <v>2029.51</v>
      </c>
      <c r="D34" s="21">
        <f t="shared" si="2"/>
        <v>6082.11</v>
      </c>
      <c r="E34" s="22">
        <f t="shared" si="3"/>
        <v>2.9968366748624051</v>
      </c>
      <c r="F34" s="18" t="s">
        <v>174</v>
      </c>
    </row>
    <row r="35" spans="1:6" x14ac:dyDescent="0.3">
      <c r="A35" s="5" t="s">
        <v>41</v>
      </c>
      <c r="B35" s="7">
        <f>5051.33</f>
        <v>5051.33</v>
      </c>
      <c r="C35" s="6"/>
      <c r="D35" s="21">
        <f t="shared" si="2"/>
        <v>5051.33</v>
      </c>
      <c r="E35" s="22" t="str">
        <f t="shared" si="3"/>
        <v/>
      </c>
      <c r="F35" s="18" t="s">
        <v>175</v>
      </c>
    </row>
    <row r="36" spans="1:6" x14ac:dyDescent="0.3">
      <c r="A36" s="5" t="s">
        <v>42</v>
      </c>
      <c r="B36" s="7">
        <f>508.5</f>
        <v>508.5</v>
      </c>
      <c r="C36" s="7">
        <f>508.5</f>
        <v>508.5</v>
      </c>
      <c r="D36" s="7">
        <f t="shared" si="2"/>
        <v>0</v>
      </c>
      <c r="E36" s="8">
        <f t="shared" si="3"/>
        <v>0</v>
      </c>
    </row>
    <row r="37" spans="1:6" x14ac:dyDescent="0.3">
      <c r="A37" s="5" t="s">
        <v>43</v>
      </c>
      <c r="B37" s="7">
        <f>1375.93</f>
        <v>1375.93</v>
      </c>
      <c r="C37" s="7">
        <f>1375.93</f>
        <v>1375.93</v>
      </c>
      <c r="D37" s="7">
        <f t="shared" si="2"/>
        <v>0</v>
      </c>
      <c r="E37" s="8">
        <f t="shared" si="3"/>
        <v>0</v>
      </c>
    </row>
    <row r="38" spans="1:6" x14ac:dyDescent="0.3">
      <c r="A38" s="5" t="s">
        <v>44</v>
      </c>
      <c r="B38" s="7">
        <f>937.39</f>
        <v>937.39</v>
      </c>
      <c r="C38" s="6"/>
      <c r="D38" s="7">
        <f t="shared" si="2"/>
        <v>937.39</v>
      </c>
      <c r="E38" s="8" t="str">
        <f t="shared" si="3"/>
        <v/>
      </c>
      <c r="F38" s="18" t="s">
        <v>177</v>
      </c>
    </row>
    <row r="39" spans="1:6" x14ac:dyDescent="0.3">
      <c r="A39" s="5" t="s">
        <v>45</v>
      </c>
      <c r="B39" s="7">
        <f>15183.12</f>
        <v>15183.12</v>
      </c>
      <c r="C39" s="6"/>
      <c r="D39" s="7">
        <f t="shared" si="2"/>
        <v>15183.12</v>
      </c>
      <c r="E39" s="8" t="str">
        <f t="shared" si="3"/>
        <v/>
      </c>
      <c r="F39" s="18" t="s">
        <v>176</v>
      </c>
    </row>
    <row r="40" spans="1:6" x14ac:dyDescent="0.3">
      <c r="A40" s="5" t="s">
        <v>46</v>
      </c>
      <c r="B40" s="9">
        <f>((((((((((((((B25)+(B26))+(B27))+(B28))+(B29))+(B30))+(B31))+(B32))+(B33))+(B34))+(B35))+(B36))+(B37))+(B38))+(B39)</f>
        <v>28656.480000000003</v>
      </c>
      <c r="C40" s="9">
        <f>((((((((((((((C25)+(C26))+(C27))+(C28))+(C29))+(C30))+(C31))+(C32))+(C33))+(C34))+(C35))+(C36))+(C37))+(C38))+(C39)</f>
        <v>5762.9500000000007</v>
      </c>
      <c r="D40" s="16">
        <f t="shared" si="2"/>
        <v>22893.530000000002</v>
      </c>
      <c r="E40" s="17">
        <f t="shared" si="3"/>
        <v>3.9725366348831761</v>
      </c>
    </row>
    <row r="41" spans="1:6" x14ac:dyDescent="0.3">
      <c r="A41" s="5" t="s">
        <v>47</v>
      </c>
      <c r="B41" s="7">
        <f>5</f>
        <v>5</v>
      </c>
      <c r="C41" s="7">
        <f>5</f>
        <v>5</v>
      </c>
      <c r="D41" s="7">
        <f t="shared" si="2"/>
        <v>0</v>
      </c>
      <c r="E41" s="8">
        <f t="shared" si="3"/>
        <v>0</v>
      </c>
    </row>
    <row r="42" spans="1:6" x14ac:dyDescent="0.3">
      <c r="A42" s="5" t="s">
        <v>48</v>
      </c>
      <c r="B42" s="9">
        <f>(B40)+(B41)</f>
        <v>28661.480000000003</v>
      </c>
      <c r="C42" s="9">
        <f>(C40)+(C41)</f>
        <v>5767.9500000000007</v>
      </c>
      <c r="D42" s="9">
        <f t="shared" si="2"/>
        <v>22893.530000000002</v>
      </c>
      <c r="E42" s="10">
        <f t="shared" si="3"/>
        <v>3.9690930053138462</v>
      </c>
    </row>
    <row r="43" spans="1:6" x14ac:dyDescent="0.3">
      <c r="A43" s="5" t="s">
        <v>49</v>
      </c>
      <c r="B43" s="9">
        <f>(B22)+(B42)</f>
        <v>50629.65</v>
      </c>
      <c r="C43" s="9">
        <f>(C22)+(C42)</f>
        <v>37311.72</v>
      </c>
      <c r="D43" s="9">
        <f t="shared" si="2"/>
        <v>13317.93</v>
      </c>
      <c r="E43" s="10">
        <f t="shared" si="3"/>
        <v>0.35693690883186302</v>
      </c>
    </row>
    <row r="44" spans="1:6" x14ac:dyDescent="0.3">
      <c r="A44" s="5" t="s">
        <v>50</v>
      </c>
      <c r="B44" s="6"/>
      <c r="C44" s="6"/>
      <c r="D44" s="6"/>
      <c r="E44" s="6"/>
    </row>
    <row r="45" spans="1:6" x14ac:dyDescent="0.3">
      <c r="A45" s="5" t="s">
        <v>51</v>
      </c>
      <c r="B45" s="6"/>
      <c r="C45" s="6"/>
      <c r="D45" s="6"/>
      <c r="E45" s="6"/>
    </row>
    <row r="46" spans="1:6" x14ac:dyDescent="0.3">
      <c r="A46" s="5" t="s">
        <v>52</v>
      </c>
      <c r="B46" s="6"/>
      <c r="C46" s="6"/>
      <c r="D46" s="6"/>
      <c r="E46" s="6"/>
    </row>
    <row r="47" spans="1:6" x14ac:dyDescent="0.3">
      <c r="A47" s="5" t="s">
        <v>53</v>
      </c>
      <c r="B47" s="6"/>
      <c r="C47" s="6"/>
      <c r="D47" s="6"/>
      <c r="E47" s="6"/>
    </row>
    <row r="48" spans="1:6" x14ac:dyDescent="0.3">
      <c r="A48" s="5" t="s">
        <v>54</v>
      </c>
      <c r="B48" s="7">
        <f>892.5</f>
        <v>892.5</v>
      </c>
      <c r="C48" s="7">
        <f>255</f>
        <v>255</v>
      </c>
      <c r="D48" s="7">
        <f t="shared" ref="D48:D57" si="4">(B48)-(C48)</f>
        <v>637.5</v>
      </c>
      <c r="E48" s="8">
        <f t="shared" ref="E48:E57" si="5">IF(ABS((C48))=0,"",((B48)-(C48))/(ABS((C48))))</f>
        <v>2.5</v>
      </c>
    </row>
    <row r="49" spans="1:17" x14ac:dyDescent="0.3">
      <c r="A49" s="5" t="s">
        <v>55</v>
      </c>
      <c r="B49" s="7">
        <f>6001.69</f>
        <v>6001.69</v>
      </c>
      <c r="C49" s="7">
        <f>30158.73</f>
        <v>30158.73</v>
      </c>
      <c r="D49" s="7">
        <f t="shared" si="4"/>
        <v>-24157.040000000001</v>
      </c>
      <c r="E49" s="8">
        <f t="shared" si="5"/>
        <v>-0.80099659368945575</v>
      </c>
      <c r="F49" s="18" t="s">
        <v>178</v>
      </c>
    </row>
    <row r="50" spans="1:17" x14ac:dyDescent="0.3">
      <c r="A50" s="5" t="s">
        <v>56</v>
      </c>
      <c r="B50" s="9">
        <f>(B48)+(B49)</f>
        <v>6894.19</v>
      </c>
      <c r="C50" s="9">
        <f>(C48)+(C49)</f>
        <v>30413.73</v>
      </c>
      <c r="D50" s="16">
        <f t="shared" si="4"/>
        <v>-23519.54</v>
      </c>
      <c r="E50" s="17">
        <f t="shared" si="5"/>
        <v>-0.77331981312387532</v>
      </c>
    </row>
    <row r="51" spans="1:17" x14ac:dyDescent="0.3">
      <c r="A51" s="5" t="s">
        <v>57</v>
      </c>
      <c r="B51" s="7">
        <f>0</f>
        <v>0</v>
      </c>
      <c r="C51" s="7">
        <f>1512</f>
        <v>1512</v>
      </c>
      <c r="D51" s="7">
        <f t="shared" si="4"/>
        <v>-1512</v>
      </c>
      <c r="E51" s="8">
        <f t="shared" si="5"/>
        <v>-1</v>
      </c>
    </row>
    <row r="52" spans="1:17" x14ac:dyDescent="0.3">
      <c r="A52" s="5" t="s">
        <v>58</v>
      </c>
      <c r="B52" s="7">
        <f>1058.46</f>
        <v>1058.46</v>
      </c>
      <c r="C52" s="6"/>
      <c r="D52" s="21">
        <f t="shared" si="4"/>
        <v>1058.46</v>
      </c>
      <c r="E52" s="22" t="str">
        <f t="shared" si="5"/>
        <v/>
      </c>
      <c r="F52" s="18" t="s">
        <v>179</v>
      </c>
    </row>
    <row r="53" spans="1:17" x14ac:dyDescent="0.3">
      <c r="A53" s="5" t="s">
        <v>59</v>
      </c>
      <c r="B53" s="7">
        <f>0</f>
        <v>0</v>
      </c>
      <c r="C53" s="6"/>
      <c r="D53" s="7">
        <f t="shared" si="4"/>
        <v>0</v>
      </c>
      <c r="E53" s="8" t="str">
        <f t="shared" si="5"/>
        <v/>
      </c>
    </row>
    <row r="54" spans="1:17" x14ac:dyDescent="0.3">
      <c r="A54" s="5" t="s">
        <v>60</v>
      </c>
      <c r="B54" s="7">
        <f>0</f>
        <v>0</v>
      </c>
      <c r="C54" s="6"/>
      <c r="D54" s="7">
        <f t="shared" si="4"/>
        <v>0</v>
      </c>
      <c r="E54" s="8" t="str">
        <f t="shared" si="5"/>
        <v/>
      </c>
    </row>
    <row r="55" spans="1:17" x14ac:dyDescent="0.3">
      <c r="A55" s="5" t="s">
        <v>61</v>
      </c>
      <c r="B55" s="7">
        <f>0</f>
        <v>0</v>
      </c>
      <c r="C55" s="6"/>
      <c r="D55" s="7">
        <f t="shared" si="4"/>
        <v>0</v>
      </c>
      <c r="E55" s="8" t="str">
        <f t="shared" si="5"/>
        <v/>
      </c>
    </row>
    <row r="56" spans="1:17" x14ac:dyDescent="0.3">
      <c r="A56" s="5" t="s">
        <v>62</v>
      </c>
      <c r="B56" s="7">
        <f>338.02</f>
        <v>338.02</v>
      </c>
      <c r="C56" s="7">
        <f>933.28</f>
        <v>933.28</v>
      </c>
      <c r="D56" s="7">
        <f t="shared" si="4"/>
        <v>-595.26</v>
      </c>
      <c r="E56" s="8">
        <f t="shared" si="5"/>
        <v>-0.63781501800102869</v>
      </c>
    </row>
    <row r="57" spans="1:17" x14ac:dyDescent="0.3">
      <c r="A57" s="5" t="s">
        <v>63</v>
      </c>
      <c r="B57" s="9">
        <f>((((((B50)+(B51))+(B52))+(B53))+(B54))+(B55))+(B56)</f>
        <v>8290.67</v>
      </c>
      <c r="C57" s="9">
        <f>((((((C50)+(C51))+(C52))+(C53))+(C54))+(C55))+(C56)</f>
        <v>32859.01</v>
      </c>
      <c r="D57" s="9">
        <f t="shared" si="4"/>
        <v>-24568.340000000004</v>
      </c>
      <c r="E57" s="10">
        <f t="shared" si="5"/>
        <v>-0.74768959868237062</v>
      </c>
    </row>
    <row r="58" spans="1:17" x14ac:dyDescent="0.3">
      <c r="A58" s="5" t="s">
        <v>64</v>
      </c>
      <c r="B58" s="6"/>
      <c r="C58" s="6"/>
      <c r="D58" s="6"/>
      <c r="E58" s="6"/>
    </row>
    <row r="59" spans="1:17" ht="62.4" customHeight="1" x14ac:dyDescent="0.3">
      <c r="A59" s="5" t="s">
        <v>65</v>
      </c>
      <c r="B59" s="7">
        <f>8498.15</f>
        <v>8498.15</v>
      </c>
      <c r="C59" s="7">
        <f>8498.15</f>
        <v>8498.15</v>
      </c>
      <c r="D59" s="7">
        <f>(B59)-(C59)</f>
        <v>0</v>
      </c>
      <c r="E59" s="8">
        <f>IF(ABS((C59))=0,"",((B59)-(C59))/(ABS((C59))))</f>
        <v>0</v>
      </c>
      <c r="F59" s="27" t="s">
        <v>180</v>
      </c>
      <c r="G59" s="27"/>
      <c r="H59" s="27"/>
      <c r="I59" s="27"/>
      <c r="J59" s="27"/>
      <c r="K59" s="27"/>
      <c r="L59" s="27"/>
      <c r="M59" s="27"/>
      <c r="N59" s="27"/>
      <c r="O59" s="27"/>
      <c r="P59" s="27"/>
      <c r="Q59" s="27"/>
    </row>
    <row r="60" spans="1:17" x14ac:dyDescent="0.3">
      <c r="A60" s="5" t="s">
        <v>66</v>
      </c>
      <c r="B60" s="7">
        <f>0</f>
        <v>0</v>
      </c>
      <c r="C60" s="7">
        <f>0</f>
        <v>0</v>
      </c>
      <c r="D60" s="7">
        <f>(B60)-(C60)</f>
        <v>0</v>
      </c>
      <c r="E60" s="8" t="str">
        <f>IF(ABS((C60))=0,"",((B60)-(C60))/(ABS((C60))))</f>
        <v/>
      </c>
    </row>
    <row r="61" spans="1:17" x14ac:dyDescent="0.3">
      <c r="A61" s="5" t="s">
        <v>67</v>
      </c>
      <c r="B61" s="7">
        <f>8321.06</f>
        <v>8321.06</v>
      </c>
      <c r="C61" s="6"/>
      <c r="D61" s="7">
        <f>(B61)-(C61)</f>
        <v>8321.06</v>
      </c>
      <c r="E61" s="8" t="str">
        <f>IF(ABS((C61))=0,"",((B61)-(C61))/(ABS((C61))))</f>
        <v/>
      </c>
      <c r="F61" s="18" t="s">
        <v>181</v>
      </c>
    </row>
    <row r="62" spans="1:17" x14ac:dyDescent="0.3">
      <c r="A62" s="5" t="s">
        <v>68</v>
      </c>
      <c r="B62" s="9">
        <f>((B59)+(B60))+(B61)</f>
        <v>16819.21</v>
      </c>
      <c r="C62" s="9">
        <f>((C59)+(C60))+(C61)</f>
        <v>8498.15</v>
      </c>
      <c r="D62" s="9">
        <f>(B62)-(C62)</f>
        <v>8321.06</v>
      </c>
      <c r="E62" s="10">
        <f>IF(ABS((C62))=0,"",((B62)-(C62))/(ABS((C62))))</f>
        <v>0.97916134688138001</v>
      </c>
    </row>
    <row r="63" spans="1:17" x14ac:dyDescent="0.3">
      <c r="A63" s="5" t="s">
        <v>69</v>
      </c>
      <c r="B63" s="9">
        <f>(B57)+(B62)</f>
        <v>25109.879999999997</v>
      </c>
      <c r="C63" s="9">
        <f>(C57)+(C62)</f>
        <v>41357.160000000003</v>
      </c>
      <c r="D63" s="9">
        <f>(B63)-(C63)</f>
        <v>-16247.280000000006</v>
      </c>
      <c r="E63" s="10">
        <f>IF(ABS((C63))=0,"",((B63)-(C63))/(ABS((C63))))</f>
        <v>-0.39285289415424091</v>
      </c>
    </row>
    <row r="64" spans="1:17" x14ac:dyDescent="0.3">
      <c r="A64" s="5" t="s">
        <v>70</v>
      </c>
      <c r="B64" s="6"/>
      <c r="C64" s="6"/>
      <c r="D64" s="6"/>
      <c r="E64" s="6"/>
    </row>
    <row r="65" spans="1:5" x14ac:dyDescent="0.3">
      <c r="A65" s="5" t="s">
        <v>71</v>
      </c>
      <c r="B65" s="7">
        <f>9267.34</f>
        <v>9267.34</v>
      </c>
      <c r="C65" s="7">
        <f>9267.34</f>
        <v>9267.34</v>
      </c>
      <c r="D65" s="7">
        <f>(B65)-(C65)</f>
        <v>0</v>
      </c>
      <c r="E65" s="8">
        <f>IF(ABS((C65))=0,"",((B65)-(C65))/(ABS((C65))))</f>
        <v>0</v>
      </c>
    </row>
    <row r="66" spans="1:5" x14ac:dyDescent="0.3">
      <c r="A66" s="5" t="s">
        <v>72</v>
      </c>
      <c r="B66" s="7">
        <f>-13312.78</f>
        <v>-13312.78</v>
      </c>
      <c r="C66" s="7">
        <f>-5930.46</f>
        <v>-5930.46</v>
      </c>
      <c r="D66" s="7">
        <f>(B66)-(C66)</f>
        <v>-7382.3200000000006</v>
      </c>
      <c r="E66" s="8">
        <f>IF(ABS((C66))=0,"",((B66)-(C66))/(ABS((C66))))</f>
        <v>-1.244814061641087</v>
      </c>
    </row>
    <row r="67" spans="1:5" x14ac:dyDescent="0.3">
      <c r="A67" s="5" t="s">
        <v>73</v>
      </c>
      <c r="B67" s="7">
        <f>29565.21</f>
        <v>29565.21</v>
      </c>
      <c r="C67" s="7">
        <f>-7382.32</f>
        <v>-7382.32</v>
      </c>
      <c r="D67" s="7">
        <f>(B67)-(C67)</f>
        <v>36947.53</v>
      </c>
      <c r="E67" s="8">
        <f>IF(ABS((C67))=0,"",((B67)-(C67))/(ABS((C67))))</f>
        <v>5.0048670336696324</v>
      </c>
    </row>
    <row r="68" spans="1:5" x14ac:dyDescent="0.3">
      <c r="A68" s="5" t="s">
        <v>74</v>
      </c>
      <c r="B68" s="9">
        <f>((B65)+(B66))+(B67)</f>
        <v>25519.769999999997</v>
      </c>
      <c r="C68" s="9">
        <f>((C65)+(C66))+(C67)</f>
        <v>-4045.4399999999996</v>
      </c>
      <c r="D68" s="9">
        <f>(B68)-(C68)</f>
        <v>29565.209999999995</v>
      </c>
      <c r="E68" s="10">
        <f>IF(ABS((C68))=0,"",((B68)-(C68))/(ABS((C68))))</f>
        <v>7.3082804342667291</v>
      </c>
    </row>
    <row r="69" spans="1:5" x14ac:dyDescent="0.3">
      <c r="A69" s="5" t="s">
        <v>75</v>
      </c>
      <c r="B69" s="9">
        <f>(B63)+(B68)</f>
        <v>50629.649999999994</v>
      </c>
      <c r="C69" s="9">
        <f>(C63)+(C68)</f>
        <v>37311.72</v>
      </c>
      <c r="D69" s="9">
        <f>(B69)-(C69)</f>
        <v>13317.929999999993</v>
      </c>
      <c r="E69" s="10">
        <f>IF(ABS((C69))=0,"",((B69)-(C69))/(ABS((C69))))</f>
        <v>0.3569369088318628</v>
      </c>
    </row>
    <row r="70" spans="1:5" x14ac:dyDescent="0.3">
      <c r="A70" s="5"/>
      <c r="B70" s="6"/>
      <c r="C70" s="6"/>
      <c r="D70" s="6"/>
      <c r="E70" s="6"/>
    </row>
    <row r="73" spans="1:5" x14ac:dyDescent="0.3">
      <c r="A73" s="33" t="s">
        <v>76</v>
      </c>
      <c r="B73" s="29"/>
      <c r="C73" s="29"/>
      <c r="D73" s="29"/>
      <c r="E73" s="29"/>
    </row>
  </sheetData>
  <mergeCells count="8">
    <mergeCell ref="A73:E73"/>
    <mergeCell ref="F14:N14"/>
    <mergeCell ref="F17:P17"/>
    <mergeCell ref="F59:Q59"/>
    <mergeCell ref="A1:E1"/>
    <mergeCell ref="A2:E2"/>
    <mergeCell ref="A3:E3"/>
    <mergeCell ref="B5:E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7B902-EF78-4EDA-A6A8-57E9386E6758}">
  <dimension ref="A1:J79"/>
  <sheetViews>
    <sheetView topLeftCell="A4" workbookViewId="0">
      <selection activeCell="E28" sqref="E28"/>
    </sheetView>
  </sheetViews>
  <sheetFormatPr defaultRowHeight="14.4" x14ac:dyDescent="0.3"/>
  <cols>
    <col min="1" max="1" width="38.6640625" style="2" customWidth="1"/>
    <col min="2" max="3" width="10.33203125" style="2" customWidth="1"/>
    <col min="4" max="4" width="11.21875" style="2" customWidth="1"/>
    <col min="5" max="5" width="8.5546875" style="2" customWidth="1"/>
    <col min="6" max="16384" width="8.88671875" style="2"/>
  </cols>
  <sheetData>
    <row r="1" spans="1:10" ht="17.399999999999999" x14ac:dyDescent="0.3">
      <c r="A1" s="28" t="s">
        <v>5</v>
      </c>
      <c r="B1" s="29"/>
      <c r="C1" s="29"/>
      <c r="D1" s="29"/>
      <c r="E1" s="29"/>
      <c r="F1" s="19" t="s">
        <v>161</v>
      </c>
      <c r="G1" s="20"/>
      <c r="H1" s="20"/>
      <c r="I1" s="20"/>
      <c r="J1" s="20"/>
    </row>
    <row r="2" spans="1:10" ht="17.399999999999999" x14ac:dyDescent="0.3">
      <c r="A2" s="28" t="s">
        <v>78</v>
      </c>
      <c r="B2" s="29"/>
      <c r="C2" s="29"/>
      <c r="D2" s="29"/>
      <c r="E2" s="29"/>
    </row>
    <row r="3" spans="1:10" x14ac:dyDescent="0.3">
      <c r="A3" s="30" t="s">
        <v>79</v>
      </c>
      <c r="B3" s="29"/>
      <c r="C3" s="29"/>
      <c r="D3" s="29"/>
      <c r="E3" s="29"/>
    </row>
    <row r="4" spans="1:10" x14ac:dyDescent="0.3">
      <c r="F4" s="15" t="s">
        <v>159</v>
      </c>
    </row>
    <row r="5" spans="1:10" x14ac:dyDescent="0.3">
      <c r="A5" s="3"/>
      <c r="B5" s="31" t="s">
        <v>8</v>
      </c>
      <c r="C5" s="32"/>
      <c r="D5" s="32"/>
      <c r="E5" s="32"/>
    </row>
    <row r="6" spans="1:10" ht="24.6" x14ac:dyDescent="0.3">
      <c r="A6" s="3"/>
      <c r="B6" s="4" t="s">
        <v>80</v>
      </c>
      <c r="C6" s="4" t="s">
        <v>81</v>
      </c>
      <c r="D6" s="4" t="s">
        <v>11</v>
      </c>
      <c r="E6" s="4" t="s">
        <v>12</v>
      </c>
      <c r="F6" s="18" t="s">
        <v>160</v>
      </c>
    </row>
    <row r="7" spans="1:10" x14ac:dyDescent="0.3">
      <c r="A7" s="5" t="s">
        <v>82</v>
      </c>
      <c r="B7" s="6"/>
      <c r="C7" s="6"/>
      <c r="D7" s="6"/>
      <c r="E7" s="6"/>
    </row>
    <row r="8" spans="1:10" x14ac:dyDescent="0.3">
      <c r="A8" s="5" t="s">
        <v>83</v>
      </c>
      <c r="B8" s="7">
        <f>2500</f>
        <v>2500</v>
      </c>
      <c r="C8" s="6"/>
      <c r="D8" s="7">
        <f t="shared" ref="D8:D27" si="0">(B8)-(C8)</f>
        <v>2500</v>
      </c>
      <c r="E8" s="8" t="str">
        <f t="shared" ref="E8:E27" si="1">IF(ABS((C8))=0,"",((B8)-(C8))/(ABS((C8))))</f>
        <v/>
      </c>
    </row>
    <row r="9" spans="1:10" x14ac:dyDescent="0.3">
      <c r="A9" s="5" t="s">
        <v>84</v>
      </c>
      <c r="B9" s="6"/>
      <c r="C9" s="7">
        <f>15783</f>
        <v>15783</v>
      </c>
      <c r="D9" s="21">
        <f t="shared" si="0"/>
        <v>-15783</v>
      </c>
      <c r="E9" s="22">
        <f t="shared" si="1"/>
        <v>-1</v>
      </c>
      <c r="F9" s="18" t="s">
        <v>183</v>
      </c>
    </row>
    <row r="10" spans="1:10" x14ac:dyDescent="0.3">
      <c r="A10" s="5" t="s">
        <v>85</v>
      </c>
      <c r="B10" s="7">
        <f>1102</f>
        <v>1102</v>
      </c>
      <c r="C10" s="7">
        <f>6581</f>
        <v>6581</v>
      </c>
      <c r="D10" s="7">
        <f t="shared" si="0"/>
        <v>-5479</v>
      </c>
      <c r="E10" s="8">
        <f t="shared" si="1"/>
        <v>-0.8325482449475764</v>
      </c>
      <c r="F10" s="18" t="s">
        <v>184</v>
      </c>
    </row>
    <row r="11" spans="1:10" x14ac:dyDescent="0.3">
      <c r="A11" s="5" t="s">
        <v>86</v>
      </c>
      <c r="B11" s="7">
        <f>2690.25</f>
        <v>2690.25</v>
      </c>
      <c r="C11" s="7">
        <f>13927</f>
        <v>13927</v>
      </c>
      <c r="D11" s="21">
        <f t="shared" si="0"/>
        <v>-11236.75</v>
      </c>
      <c r="E11" s="22">
        <f t="shared" si="1"/>
        <v>-0.80683205284698789</v>
      </c>
    </row>
    <row r="12" spans="1:10" x14ac:dyDescent="0.3">
      <c r="A12" s="5" t="s">
        <v>87</v>
      </c>
      <c r="B12" s="7">
        <f>20217.87</f>
        <v>20217.87</v>
      </c>
      <c r="C12" s="6"/>
      <c r="D12" s="7">
        <f t="shared" si="0"/>
        <v>20217.87</v>
      </c>
      <c r="E12" s="8" t="str">
        <f t="shared" si="1"/>
        <v/>
      </c>
      <c r="F12" s="18" t="s">
        <v>185</v>
      </c>
    </row>
    <row r="13" spans="1:10" x14ac:dyDescent="0.3">
      <c r="A13" s="5" t="s">
        <v>88</v>
      </c>
      <c r="B13" s="7">
        <f>37630</f>
        <v>37630</v>
      </c>
      <c r="C13" s="6"/>
      <c r="D13" s="7">
        <f t="shared" si="0"/>
        <v>37630</v>
      </c>
      <c r="E13" s="8" t="str">
        <f t="shared" si="1"/>
        <v/>
      </c>
      <c r="F13" s="18" t="s">
        <v>185</v>
      </c>
    </row>
    <row r="14" spans="1:10" x14ac:dyDescent="0.3">
      <c r="A14" s="5" t="s">
        <v>89</v>
      </c>
      <c r="B14" s="7">
        <f>15725.1</f>
        <v>15725.1</v>
      </c>
      <c r="C14" s="7">
        <f>7452.74</f>
        <v>7452.74</v>
      </c>
      <c r="D14" s="21">
        <f t="shared" si="0"/>
        <v>8272.36</v>
      </c>
      <c r="E14" s="22">
        <f t="shared" si="1"/>
        <v>1.1099756599586195</v>
      </c>
      <c r="F14" s="18" t="s">
        <v>186</v>
      </c>
    </row>
    <row r="15" spans="1:10" x14ac:dyDescent="0.3">
      <c r="A15" s="5" t="s">
        <v>90</v>
      </c>
      <c r="B15" s="7">
        <f>2000</f>
        <v>2000</v>
      </c>
      <c r="C15" s="7">
        <f>8000</f>
        <v>8000</v>
      </c>
      <c r="D15" s="7">
        <f t="shared" si="0"/>
        <v>-6000</v>
      </c>
      <c r="E15" s="8">
        <f t="shared" si="1"/>
        <v>-0.75</v>
      </c>
      <c r="F15" s="18" t="s">
        <v>187</v>
      </c>
    </row>
    <row r="16" spans="1:10" x14ac:dyDescent="0.3">
      <c r="A16" s="5" t="s">
        <v>91</v>
      </c>
      <c r="B16" s="7">
        <f>1925</f>
        <v>1925</v>
      </c>
      <c r="C16" s="7">
        <f>2428</f>
        <v>2428</v>
      </c>
      <c r="D16" s="7">
        <f t="shared" si="0"/>
        <v>-503</v>
      </c>
      <c r="E16" s="8">
        <f t="shared" si="1"/>
        <v>-0.20716639209225701</v>
      </c>
    </row>
    <row r="17" spans="1:6" x14ac:dyDescent="0.3">
      <c r="A17" s="5" t="s">
        <v>92</v>
      </c>
      <c r="B17" s="7">
        <f>900</f>
        <v>900</v>
      </c>
      <c r="C17" s="6"/>
      <c r="D17" s="7">
        <f t="shared" si="0"/>
        <v>900</v>
      </c>
      <c r="E17" s="8" t="str">
        <f t="shared" si="1"/>
        <v/>
      </c>
    </row>
    <row r="18" spans="1:6" x14ac:dyDescent="0.3">
      <c r="A18" s="5" t="s">
        <v>93</v>
      </c>
      <c r="B18" s="7">
        <f>2520</f>
        <v>2520</v>
      </c>
      <c r="C18" s="7">
        <f>4710</f>
        <v>4710</v>
      </c>
      <c r="D18" s="7">
        <f t="shared" si="0"/>
        <v>-2190</v>
      </c>
      <c r="E18" s="8">
        <f t="shared" si="1"/>
        <v>-0.46496815286624205</v>
      </c>
    </row>
    <row r="19" spans="1:6" x14ac:dyDescent="0.3">
      <c r="A19" s="5" t="s">
        <v>94</v>
      </c>
      <c r="B19" s="7">
        <f>2500</f>
        <v>2500</v>
      </c>
      <c r="C19" s="6"/>
      <c r="D19" s="7">
        <f t="shared" si="0"/>
        <v>2500</v>
      </c>
      <c r="E19" s="8" t="str">
        <f t="shared" si="1"/>
        <v/>
      </c>
    </row>
    <row r="20" spans="1:6" x14ac:dyDescent="0.3">
      <c r="A20" s="5" t="s">
        <v>95</v>
      </c>
      <c r="B20" s="7">
        <f>2480</f>
        <v>2480</v>
      </c>
      <c r="C20" s="7">
        <f>927.5</f>
        <v>927.5</v>
      </c>
      <c r="D20" s="7">
        <f t="shared" si="0"/>
        <v>1552.5</v>
      </c>
      <c r="E20" s="8">
        <f t="shared" si="1"/>
        <v>1.6738544474393531</v>
      </c>
    </row>
    <row r="21" spans="1:6" x14ac:dyDescent="0.3">
      <c r="A21" s="5" t="s">
        <v>96</v>
      </c>
      <c r="B21" s="7">
        <f>600</f>
        <v>600</v>
      </c>
      <c r="C21" s="6"/>
      <c r="D21" s="7">
        <f t="shared" si="0"/>
        <v>600</v>
      </c>
      <c r="E21" s="8" t="str">
        <f t="shared" si="1"/>
        <v/>
      </c>
    </row>
    <row r="22" spans="1:6" x14ac:dyDescent="0.3">
      <c r="A22" s="5" t="s">
        <v>97</v>
      </c>
      <c r="B22" s="7">
        <f>2775</f>
        <v>2775</v>
      </c>
      <c r="C22" s="7">
        <f>1798.88</f>
        <v>1798.88</v>
      </c>
      <c r="D22" s="7">
        <f t="shared" si="0"/>
        <v>976.11999999999989</v>
      </c>
      <c r="E22" s="8">
        <f t="shared" si="1"/>
        <v>0.54262652316997229</v>
      </c>
    </row>
    <row r="23" spans="1:6" x14ac:dyDescent="0.3">
      <c r="A23" s="5" t="s">
        <v>98</v>
      </c>
      <c r="B23" s="6"/>
      <c r="C23" s="7">
        <f>17090.69</f>
        <v>17090.689999999999</v>
      </c>
      <c r="D23" s="7">
        <f t="shared" si="0"/>
        <v>-17090.689999999999</v>
      </c>
      <c r="E23" s="8">
        <f t="shared" si="1"/>
        <v>-1</v>
      </c>
      <c r="F23" s="18" t="s">
        <v>188</v>
      </c>
    </row>
    <row r="24" spans="1:6" x14ac:dyDescent="0.3">
      <c r="A24" s="5" t="s">
        <v>99</v>
      </c>
      <c r="B24" s="7">
        <f>750</f>
        <v>750</v>
      </c>
      <c r="C24" s="7">
        <f>250</f>
        <v>250</v>
      </c>
      <c r="D24" s="7">
        <f t="shared" si="0"/>
        <v>500</v>
      </c>
      <c r="E24" s="8">
        <f t="shared" si="1"/>
        <v>2</v>
      </c>
    </row>
    <row r="25" spans="1:6" x14ac:dyDescent="0.3">
      <c r="A25" s="5" t="s">
        <v>100</v>
      </c>
      <c r="B25" s="7">
        <f>11678.94</f>
        <v>11678.94</v>
      </c>
      <c r="C25" s="6"/>
      <c r="D25" s="21">
        <f t="shared" si="0"/>
        <v>11678.94</v>
      </c>
      <c r="E25" s="22" t="str">
        <f t="shared" si="1"/>
        <v/>
      </c>
      <c r="F25" s="18" t="s">
        <v>182</v>
      </c>
    </row>
    <row r="26" spans="1:6" x14ac:dyDescent="0.3">
      <c r="A26" s="5" t="s">
        <v>101</v>
      </c>
      <c r="B26" s="7">
        <f>2262</f>
        <v>2262</v>
      </c>
      <c r="C26" s="7">
        <f>-1512</f>
        <v>-1512</v>
      </c>
      <c r="D26" s="7">
        <f t="shared" si="0"/>
        <v>3774</v>
      </c>
      <c r="E26" s="8">
        <f t="shared" si="1"/>
        <v>2.496031746031746</v>
      </c>
    </row>
    <row r="27" spans="1:6" x14ac:dyDescent="0.3">
      <c r="A27" s="5" t="s">
        <v>102</v>
      </c>
      <c r="B27" s="9">
        <f>((((((((((((((((((B8)+(B9))+(B10))+(B11))+(B12))+(B13))+(B14))+(B15))+(B16))+(B17))+(B18))+(B19))+(B20))+(B21))+(B22))+(B23))+(B24))+(B25))+(B26)</f>
        <v>110256.16</v>
      </c>
      <c r="C27" s="9">
        <f>((((((((((((((((((C8)+(C9))+(C10))+(C11))+(C12))+(C13))+(C14))+(C15))+(C16))+(C17))+(C18))+(C19))+(C20))+(C21))+(C22))+(C23))+(C24))+(C25))+(C26)</f>
        <v>77436.81</v>
      </c>
      <c r="D27" s="9">
        <f t="shared" si="0"/>
        <v>32819.350000000006</v>
      </c>
      <c r="E27" s="10">
        <f t="shared" si="1"/>
        <v>0.42382104841353879</v>
      </c>
    </row>
    <row r="28" spans="1:6" x14ac:dyDescent="0.3">
      <c r="A28" s="5" t="s">
        <v>103</v>
      </c>
      <c r="B28" s="6"/>
      <c r="C28" s="6"/>
      <c r="D28" s="6"/>
      <c r="E28" s="6"/>
    </row>
    <row r="29" spans="1:6" x14ac:dyDescent="0.3">
      <c r="A29" s="5" t="s">
        <v>104</v>
      </c>
      <c r="B29" s="6"/>
      <c r="C29" s="7">
        <f>14858.82</f>
        <v>14858.82</v>
      </c>
      <c r="D29" s="21">
        <f>(B29)-(C29)</f>
        <v>-14858.82</v>
      </c>
      <c r="E29" s="22">
        <f>IF(ABS((C29))=0,"",((B29)-(C29))/(ABS((C29))))</f>
        <v>-1</v>
      </c>
      <c r="F29" s="18" t="s">
        <v>189</v>
      </c>
    </row>
    <row r="30" spans="1:6" x14ac:dyDescent="0.3">
      <c r="A30" s="5" t="s">
        <v>105</v>
      </c>
      <c r="B30" s="7">
        <f>2108</f>
        <v>2108</v>
      </c>
      <c r="C30" s="7">
        <f>788.38</f>
        <v>788.38</v>
      </c>
      <c r="D30" s="7">
        <f>(B30)-(C30)</f>
        <v>1319.62</v>
      </c>
      <c r="E30" s="8">
        <f>IF(ABS((C30))=0,"",((B30)-(C30))/(ABS((C30))))</f>
        <v>1.673837489535503</v>
      </c>
    </row>
    <row r="31" spans="1:6" x14ac:dyDescent="0.3">
      <c r="A31" s="5" t="s">
        <v>106</v>
      </c>
      <c r="B31" s="9">
        <f>(B29)+(B30)</f>
        <v>2108</v>
      </c>
      <c r="C31" s="9">
        <f>(C29)+(C30)</f>
        <v>15647.199999999999</v>
      </c>
      <c r="D31" s="9">
        <f>(B31)-(C31)</f>
        <v>-13539.199999999999</v>
      </c>
      <c r="E31" s="10">
        <f>IF(ABS((C31))=0,"",((B31)-(C31))/(ABS((C31))))</f>
        <v>-0.86527941101283301</v>
      </c>
    </row>
    <row r="32" spans="1:6" x14ac:dyDescent="0.3">
      <c r="A32" s="5" t="s">
        <v>107</v>
      </c>
      <c r="B32" s="9">
        <f>(B27)-(B31)</f>
        <v>108148.16</v>
      </c>
      <c r="C32" s="9">
        <f>(C27)-(C31)</f>
        <v>61789.61</v>
      </c>
      <c r="D32" s="9">
        <f>(B32)-(C32)</f>
        <v>46358.55</v>
      </c>
      <c r="E32" s="10">
        <f>IF(ABS((C32))=0,"",((B32)-(C32))/(ABS((C32))))</f>
        <v>0.75026448621378261</v>
      </c>
    </row>
    <row r="33" spans="1:6" x14ac:dyDescent="0.3">
      <c r="A33" s="5" t="s">
        <v>108</v>
      </c>
      <c r="B33" s="6"/>
      <c r="C33" s="6"/>
      <c r="D33" s="6"/>
      <c r="E33" s="6"/>
    </row>
    <row r="34" spans="1:6" x14ac:dyDescent="0.3">
      <c r="A34" s="5" t="s">
        <v>109</v>
      </c>
      <c r="B34" s="7">
        <f>594.81</f>
        <v>594.80999999999995</v>
      </c>
      <c r="C34" s="7">
        <f>1446.49</f>
        <v>1446.49</v>
      </c>
      <c r="D34" s="7">
        <f t="shared" ref="D34:D71" si="2">(B34)-(C34)</f>
        <v>-851.68000000000006</v>
      </c>
      <c r="E34" s="8">
        <f t="shared" ref="E34:E71" si="3">IF(ABS((C34))=0,"",((B34)-(C34))/(ABS((C34))))</f>
        <v>-0.58879079703281745</v>
      </c>
    </row>
    <row r="35" spans="1:6" x14ac:dyDescent="0.3">
      <c r="A35" s="5" t="s">
        <v>110</v>
      </c>
      <c r="B35" s="7">
        <f>-240</f>
        <v>-240</v>
      </c>
      <c r="C35" s="7">
        <f>2470.05</f>
        <v>2470.0500000000002</v>
      </c>
      <c r="D35" s="7">
        <f t="shared" si="2"/>
        <v>-2710.05</v>
      </c>
      <c r="E35" s="8">
        <f t="shared" si="3"/>
        <v>-1.0971640250197365</v>
      </c>
    </row>
    <row r="36" spans="1:6" x14ac:dyDescent="0.3">
      <c r="A36" s="5" t="s">
        <v>111</v>
      </c>
      <c r="B36" s="6"/>
      <c r="C36" s="7">
        <f>568.79</f>
        <v>568.79</v>
      </c>
      <c r="D36" s="7">
        <f t="shared" si="2"/>
        <v>-568.79</v>
      </c>
      <c r="E36" s="8">
        <f t="shared" si="3"/>
        <v>-1</v>
      </c>
    </row>
    <row r="37" spans="1:6" x14ac:dyDescent="0.3">
      <c r="A37" s="5" t="s">
        <v>112</v>
      </c>
      <c r="B37" s="7">
        <f>101.76</f>
        <v>101.76</v>
      </c>
      <c r="C37" s="6"/>
      <c r="D37" s="7">
        <f t="shared" si="2"/>
        <v>101.76</v>
      </c>
      <c r="E37" s="8" t="str">
        <f t="shared" si="3"/>
        <v/>
      </c>
    </row>
    <row r="38" spans="1:6" x14ac:dyDescent="0.3">
      <c r="A38" s="5" t="s">
        <v>113</v>
      </c>
      <c r="B38" s="7">
        <f>107.35</f>
        <v>107.35</v>
      </c>
      <c r="C38" s="7">
        <f>49</f>
        <v>49</v>
      </c>
      <c r="D38" s="7">
        <f t="shared" si="2"/>
        <v>58.349999999999994</v>
      </c>
      <c r="E38" s="8">
        <f t="shared" si="3"/>
        <v>1.1908163265306122</v>
      </c>
    </row>
    <row r="39" spans="1:6" x14ac:dyDescent="0.3">
      <c r="A39" s="5" t="s">
        <v>114</v>
      </c>
      <c r="B39" s="7">
        <f>11705.33</f>
        <v>11705.33</v>
      </c>
      <c r="C39" s="7">
        <f>5012.5</f>
        <v>5012.5</v>
      </c>
      <c r="D39" s="21">
        <f t="shared" si="2"/>
        <v>6692.83</v>
      </c>
      <c r="E39" s="22">
        <f t="shared" si="3"/>
        <v>1.3352279301745635</v>
      </c>
      <c r="F39" s="18" t="s">
        <v>190</v>
      </c>
    </row>
    <row r="40" spans="1:6" x14ac:dyDescent="0.3">
      <c r="A40" s="5" t="s">
        <v>115</v>
      </c>
      <c r="B40" s="7">
        <f>1575</f>
        <v>1575</v>
      </c>
      <c r="C40" s="6"/>
      <c r="D40" s="7">
        <f t="shared" si="2"/>
        <v>1575</v>
      </c>
      <c r="E40" s="8" t="str">
        <f t="shared" si="3"/>
        <v/>
      </c>
    </row>
    <row r="41" spans="1:6" x14ac:dyDescent="0.3">
      <c r="A41" s="5" t="s">
        <v>116</v>
      </c>
      <c r="B41" s="7">
        <f>18696.75</f>
        <v>18696.75</v>
      </c>
      <c r="C41" s="7">
        <f>5012.5</f>
        <v>5012.5</v>
      </c>
      <c r="D41" s="21">
        <f t="shared" si="2"/>
        <v>13684.25</v>
      </c>
      <c r="E41" s="22">
        <f t="shared" si="3"/>
        <v>2.7300249376558603</v>
      </c>
      <c r="F41" s="18" t="s">
        <v>190</v>
      </c>
    </row>
    <row r="42" spans="1:6" x14ac:dyDescent="0.3">
      <c r="A42" s="5" t="s">
        <v>117</v>
      </c>
      <c r="B42" s="6"/>
      <c r="C42" s="7">
        <f>5309.58</f>
        <v>5309.58</v>
      </c>
      <c r="D42" s="21">
        <f t="shared" si="2"/>
        <v>-5309.58</v>
      </c>
      <c r="E42" s="22">
        <f t="shared" si="3"/>
        <v>-1</v>
      </c>
      <c r="F42" s="18" t="s">
        <v>192</v>
      </c>
    </row>
    <row r="43" spans="1:6" x14ac:dyDescent="0.3">
      <c r="A43" s="5" t="s">
        <v>118</v>
      </c>
      <c r="B43" s="7">
        <f>4360.42</f>
        <v>4360.42</v>
      </c>
      <c r="C43" s="7">
        <f>3426.84</f>
        <v>3426.84</v>
      </c>
      <c r="D43" s="7">
        <f t="shared" si="2"/>
        <v>933.57999999999993</v>
      </c>
      <c r="E43" s="8">
        <f t="shared" si="3"/>
        <v>0.27243174469773901</v>
      </c>
    </row>
    <row r="44" spans="1:6" x14ac:dyDescent="0.3">
      <c r="A44" s="5" t="s">
        <v>119</v>
      </c>
      <c r="B44" s="7">
        <f>286.56</f>
        <v>286.56</v>
      </c>
      <c r="C44" s="7">
        <f>285.35</f>
        <v>285.35000000000002</v>
      </c>
      <c r="D44" s="7">
        <f t="shared" si="2"/>
        <v>1.2099999999999795</v>
      </c>
      <c r="E44" s="8">
        <f t="shared" si="3"/>
        <v>4.240406518310774E-3</v>
      </c>
    </row>
    <row r="45" spans="1:6" x14ac:dyDescent="0.3">
      <c r="A45" s="5" t="s">
        <v>120</v>
      </c>
      <c r="B45" s="7">
        <f>831</f>
        <v>831</v>
      </c>
      <c r="C45" s="7">
        <f>3663.94</f>
        <v>3663.94</v>
      </c>
      <c r="D45" s="7">
        <f t="shared" si="2"/>
        <v>-2832.94</v>
      </c>
      <c r="E45" s="8">
        <f t="shared" si="3"/>
        <v>-0.77319497590026043</v>
      </c>
    </row>
    <row r="46" spans="1:6" x14ac:dyDescent="0.3">
      <c r="A46" s="5" t="s">
        <v>121</v>
      </c>
      <c r="B46" s="7">
        <f>19949.4</f>
        <v>19949.400000000001</v>
      </c>
      <c r="C46" s="7">
        <f>14400</f>
        <v>14400</v>
      </c>
      <c r="D46" s="21">
        <f t="shared" si="2"/>
        <v>5549.4000000000015</v>
      </c>
      <c r="E46" s="22">
        <f t="shared" si="3"/>
        <v>0.38537500000000008</v>
      </c>
      <c r="F46" s="18" t="s">
        <v>193</v>
      </c>
    </row>
    <row r="47" spans="1:6" x14ac:dyDescent="0.3">
      <c r="A47" s="5" t="s">
        <v>122</v>
      </c>
      <c r="B47" s="6"/>
      <c r="C47" s="7">
        <f>1398.49</f>
        <v>1398.49</v>
      </c>
      <c r="D47" s="7">
        <f t="shared" si="2"/>
        <v>-1398.49</v>
      </c>
      <c r="E47" s="8">
        <f t="shared" si="3"/>
        <v>-1</v>
      </c>
    </row>
    <row r="48" spans="1:6" x14ac:dyDescent="0.3">
      <c r="A48" s="5" t="s">
        <v>123</v>
      </c>
      <c r="B48" s="7">
        <f>21</f>
        <v>21</v>
      </c>
      <c r="C48" s="6"/>
      <c r="D48" s="7">
        <f t="shared" si="2"/>
        <v>21</v>
      </c>
      <c r="E48" s="8" t="str">
        <f t="shared" si="3"/>
        <v/>
      </c>
    </row>
    <row r="49" spans="1:6" x14ac:dyDescent="0.3">
      <c r="A49" s="5" t="s">
        <v>124</v>
      </c>
      <c r="B49" s="7">
        <f>351.22</f>
        <v>351.22</v>
      </c>
      <c r="C49" s="6"/>
      <c r="D49" s="7">
        <f t="shared" si="2"/>
        <v>351.22</v>
      </c>
      <c r="E49" s="8" t="str">
        <f t="shared" si="3"/>
        <v/>
      </c>
    </row>
    <row r="50" spans="1:6" x14ac:dyDescent="0.3">
      <c r="A50" s="5" t="s">
        <v>125</v>
      </c>
      <c r="B50" s="7">
        <f>636</f>
        <v>636</v>
      </c>
      <c r="C50" s="6"/>
      <c r="D50" s="7">
        <f t="shared" si="2"/>
        <v>636</v>
      </c>
      <c r="E50" s="8" t="str">
        <f t="shared" si="3"/>
        <v/>
      </c>
    </row>
    <row r="51" spans="1:6" x14ac:dyDescent="0.3">
      <c r="A51" s="5" t="s">
        <v>126</v>
      </c>
      <c r="B51" s="7">
        <f>2198</f>
        <v>2198</v>
      </c>
      <c r="C51" s="7">
        <f>1446.63</f>
        <v>1446.63</v>
      </c>
      <c r="D51" s="7">
        <f t="shared" si="2"/>
        <v>751.36999999999989</v>
      </c>
      <c r="E51" s="8">
        <f t="shared" si="3"/>
        <v>0.51939334867934428</v>
      </c>
    </row>
    <row r="52" spans="1:6" x14ac:dyDescent="0.3">
      <c r="A52" s="5" t="s">
        <v>127</v>
      </c>
      <c r="B52" s="6"/>
      <c r="C52" s="7">
        <f>-71</f>
        <v>-71</v>
      </c>
      <c r="D52" s="7">
        <f t="shared" si="2"/>
        <v>71</v>
      </c>
      <c r="E52" s="8">
        <f t="shared" si="3"/>
        <v>1</v>
      </c>
    </row>
    <row r="53" spans="1:6" x14ac:dyDescent="0.3">
      <c r="A53" s="5" t="s">
        <v>128</v>
      </c>
      <c r="B53" s="7">
        <f>1122.2</f>
        <v>1122.2</v>
      </c>
      <c r="C53" s="6"/>
      <c r="D53" s="7">
        <f t="shared" si="2"/>
        <v>1122.2</v>
      </c>
      <c r="E53" s="8" t="str">
        <f t="shared" si="3"/>
        <v/>
      </c>
    </row>
    <row r="54" spans="1:6" x14ac:dyDescent="0.3">
      <c r="A54" s="5" t="s">
        <v>129</v>
      </c>
      <c r="B54" s="7">
        <f>1894.24</f>
        <v>1894.24</v>
      </c>
      <c r="C54" s="6"/>
      <c r="D54" s="7">
        <f t="shared" si="2"/>
        <v>1894.24</v>
      </c>
      <c r="E54" s="8" t="str">
        <f t="shared" si="3"/>
        <v/>
      </c>
    </row>
    <row r="55" spans="1:6" x14ac:dyDescent="0.3">
      <c r="A55" s="5" t="s">
        <v>130</v>
      </c>
      <c r="B55" s="7">
        <f>150</f>
        <v>150</v>
      </c>
      <c r="C55" s="7">
        <f>200</f>
        <v>200</v>
      </c>
      <c r="D55" s="7">
        <f t="shared" si="2"/>
        <v>-50</v>
      </c>
      <c r="E55" s="8">
        <f t="shared" si="3"/>
        <v>-0.25</v>
      </c>
    </row>
    <row r="56" spans="1:6" x14ac:dyDescent="0.3">
      <c r="A56" s="5" t="s">
        <v>131</v>
      </c>
      <c r="B56" s="6"/>
      <c r="C56" s="7">
        <f>3159.6</f>
        <v>3159.6</v>
      </c>
      <c r="D56" s="21">
        <f t="shared" si="2"/>
        <v>-3159.6</v>
      </c>
      <c r="E56" s="22">
        <f t="shared" si="3"/>
        <v>-1</v>
      </c>
      <c r="F56" s="18" t="s">
        <v>195</v>
      </c>
    </row>
    <row r="57" spans="1:6" x14ac:dyDescent="0.3">
      <c r="A57" s="5" t="s">
        <v>132</v>
      </c>
      <c r="B57" s="7">
        <f>2056.53</f>
        <v>2056.5300000000002</v>
      </c>
      <c r="C57" s="7">
        <f>3150</f>
        <v>3150</v>
      </c>
      <c r="D57" s="7">
        <f t="shared" si="2"/>
        <v>-1093.4699999999998</v>
      </c>
      <c r="E57" s="8">
        <f t="shared" si="3"/>
        <v>-0.34713333333333329</v>
      </c>
    </row>
    <row r="58" spans="1:6" x14ac:dyDescent="0.3">
      <c r="A58" s="5" t="s">
        <v>133</v>
      </c>
      <c r="B58" s="7">
        <f>553.53</f>
        <v>553.53</v>
      </c>
      <c r="C58" s="7">
        <f>517.3</f>
        <v>517.29999999999995</v>
      </c>
      <c r="D58" s="7">
        <f t="shared" si="2"/>
        <v>36.230000000000018</v>
      </c>
      <c r="E58" s="8">
        <f t="shared" si="3"/>
        <v>7.0036729170694034E-2</v>
      </c>
    </row>
    <row r="59" spans="1:6" x14ac:dyDescent="0.3">
      <c r="A59" s="5" t="s">
        <v>134</v>
      </c>
      <c r="B59" s="7">
        <f>44.36</f>
        <v>44.36</v>
      </c>
      <c r="C59" s="7">
        <f>57.89</f>
        <v>57.89</v>
      </c>
      <c r="D59" s="7">
        <f t="shared" si="2"/>
        <v>-13.530000000000001</v>
      </c>
      <c r="E59" s="8">
        <f t="shared" si="3"/>
        <v>-0.23371912247365695</v>
      </c>
    </row>
    <row r="60" spans="1:6" x14ac:dyDescent="0.3">
      <c r="A60" s="5" t="s">
        <v>135</v>
      </c>
      <c r="B60" s="7">
        <f>1987.15</f>
        <v>1987.15</v>
      </c>
      <c r="C60" s="7">
        <f>2316.42</f>
        <v>2316.42</v>
      </c>
      <c r="D60" s="7">
        <f t="shared" si="2"/>
        <v>-329.27</v>
      </c>
      <c r="E60" s="8">
        <f t="shared" si="3"/>
        <v>-0.14214607022906034</v>
      </c>
    </row>
    <row r="61" spans="1:6" x14ac:dyDescent="0.3">
      <c r="A61" s="5" t="s">
        <v>136</v>
      </c>
      <c r="B61" s="7">
        <f>677.24</f>
        <v>677.24</v>
      </c>
      <c r="C61" s="7">
        <f>393.98</f>
        <v>393.98</v>
      </c>
      <c r="D61" s="7">
        <f t="shared" si="2"/>
        <v>283.26</v>
      </c>
      <c r="E61" s="8">
        <f t="shared" si="3"/>
        <v>0.7189705061170617</v>
      </c>
    </row>
    <row r="62" spans="1:6" x14ac:dyDescent="0.3">
      <c r="A62" s="5" t="s">
        <v>137</v>
      </c>
      <c r="B62" s="6"/>
      <c r="C62" s="7">
        <f>2691.61</f>
        <v>2691.61</v>
      </c>
      <c r="D62" s="7">
        <f t="shared" si="2"/>
        <v>-2691.61</v>
      </c>
      <c r="E62" s="8">
        <f t="shared" si="3"/>
        <v>-1</v>
      </c>
    </row>
    <row r="63" spans="1:6" x14ac:dyDescent="0.3">
      <c r="A63" s="5" t="s">
        <v>138</v>
      </c>
      <c r="B63" s="7">
        <f>259.54</f>
        <v>259.54000000000002</v>
      </c>
      <c r="C63" s="7">
        <f>333.57</f>
        <v>333.57</v>
      </c>
      <c r="D63" s="7">
        <f t="shared" si="2"/>
        <v>-74.029999999999973</v>
      </c>
      <c r="E63" s="8">
        <f t="shared" si="3"/>
        <v>-0.22193242797613685</v>
      </c>
    </row>
    <row r="64" spans="1:6" x14ac:dyDescent="0.3">
      <c r="A64" s="5" t="s">
        <v>139</v>
      </c>
      <c r="B64" s="7">
        <f>488.25</f>
        <v>488.25</v>
      </c>
      <c r="C64" s="7">
        <f>403.75</f>
        <v>403.75</v>
      </c>
      <c r="D64" s="7">
        <f t="shared" si="2"/>
        <v>84.5</v>
      </c>
      <c r="E64" s="8">
        <f t="shared" si="3"/>
        <v>0.20928792569659443</v>
      </c>
    </row>
    <row r="65" spans="1:6" x14ac:dyDescent="0.3">
      <c r="A65" s="5" t="s">
        <v>140</v>
      </c>
      <c r="B65" s="7">
        <f>417.85</f>
        <v>417.85</v>
      </c>
      <c r="C65" s="7">
        <f>183.29</f>
        <v>183.29</v>
      </c>
      <c r="D65" s="7">
        <f t="shared" si="2"/>
        <v>234.56000000000003</v>
      </c>
      <c r="E65" s="8">
        <f t="shared" si="3"/>
        <v>1.2797206612472041</v>
      </c>
    </row>
    <row r="66" spans="1:6" x14ac:dyDescent="0.3">
      <c r="A66" s="5" t="s">
        <v>141</v>
      </c>
      <c r="B66" s="7">
        <f>5715.24</f>
        <v>5715.24</v>
      </c>
      <c r="C66" s="6"/>
      <c r="D66" s="21">
        <f t="shared" si="2"/>
        <v>5715.24</v>
      </c>
      <c r="E66" s="22" t="str">
        <f t="shared" si="3"/>
        <v/>
      </c>
      <c r="F66" s="18" t="s">
        <v>196</v>
      </c>
    </row>
    <row r="67" spans="1:6" x14ac:dyDescent="0.3">
      <c r="A67" s="5" t="s">
        <v>142</v>
      </c>
      <c r="B67" s="7">
        <f>950.84</f>
        <v>950.84</v>
      </c>
      <c r="C67" s="6"/>
      <c r="D67" s="7">
        <f t="shared" si="2"/>
        <v>950.84</v>
      </c>
      <c r="E67" s="8" t="str">
        <f t="shared" si="3"/>
        <v/>
      </c>
    </row>
    <row r="68" spans="1:6" x14ac:dyDescent="0.3">
      <c r="A68" s="5" t="s">
        <v>143</v>
      </c>
      <c r="B68" s="7">
        <f>79.12</f>
        <v>79.12</v>
      </c>
      <c r="C68" s="6"/>
      <c r="D68" s="7">
        <f t="shared" si="2"/>
        <v>79.12</v>
      </c>
      <c r="E68" s="8" t="str">
        <f t="shared" si="3"/>
        <v/>
      </c>
    </row>
    <row r="69" spans="1:6" x14ac:dyDescent="0.3">
      <c r="A69" s="5" t="s">
        <v>144</v>
      </c>
      <c r="B69" s="6"/>
      <c r="C69" s="7">
        <f>5555.91</f>
        <v>5555.91</v>
      </c>
      <c r="D69" s="21">
        <f t="shared" si="2"/>
        <v>-5555.91</v>
      </c>
      <c r="E69" s="22">
        <f t="shared" si="3"/>
        <v>-1</v>
      </c>
      <c r="F69" s="18" t="s">
        <v>191</v>
      </c>
    </row>
    <row r="70" spans="1:6" x14ac:dyDescent="0.3">
      <c r="A70" s="5" t="s">
        <v>145</v>
      </c>
      <c r="B70" s="7">
        <f>1031.58</f>
        <v>1031.58</v>
      </c>
      <c r="C70" s="7">
        <f>5797.38</f>
        <v>5797.38</v>
      </c>
      <c r="D70" s="21">
        <f t="shared" si="2"/>
        <v>-4765.8</v>
      </c>
      <c r="E70" s="22">
        <f t="shared" si="3"/>
        <v>-0.82206099996895154</v>
      </c>
      <c r="F70" s="18" t="s">
        <v>194</v>
      </c>
    </row>
    <row r="71" spans="1:6" x14ac:dyDescent="0.3">
      <c r="A71" s="5" t="s">
        <v>146</v>
      </c>
      <c r="B71" s="9">
        <f>((((((((((((((((((((((((((((((((((((B34)+(B35))+(B36))+(B37))+(B38))+(B39))+(B40))+(B41))+(B42))+(B43))+(B44))+(B45))+(B46))+(B47))+(B48))+(B49))+(B50))+(B51))+(B52))+(B53))+(B54))+(B55))+(B56))+(B57))+(B58))+(B59))+(B60))+(B61))+(B62))+(B63))+(B64))+(B65))+(B66))+(B67))+(B68))+(B69))+(B70)</f>
        <v>78602.26999999999</v>
      </c>
      <c r="C71" s="9">
        <f>((((((((((((((((((((((((((((((((((((C34)+(C35))+(C36))+(C37))+(C38))+(C39))+(C40))+(C41))+(C42))+(C43))+(C44))+(C45))+(C46))+(C47))+(C48))+(C49))+(C50))+(C51))+(C52))+(C53))+(C54))+(C55))+(C56))+(C57))+(C58))+(C59))+(C60))+(C61))+(C62))+(C63))+(C64))+(C65))+(C66))+(C67))+(C68))+(C69))+(C70)</f>
        <v>69179.86</v>
      </c>
      <c r="D71" s="9">
        <f t="shared" si="2"/>
        <v>9422.4099999999889</v>
      </c>
      <c r="E71" s="10">
        <f t="shared" si="3"/>
        <v>0.13620163440631405</v>
      </c>
    </row>
    <row r="72" spans="1:6" x14ac:dyDescent="0.3">
      <c r="A72" s="5" t="s">
        <v>147</v>
      </c>
      <c r="B72" s="6"/>
      <c r="C72" s="6"/>
      <c r="D72" s="6"/>
      <c r="E72" s="6"/>
    </row>
    <row r="73" spans="1:6" x14ac:dyDescent="0.3">
      <c r="A73" s="5" t="s">
        <v>148</v>
      </c>
      <c r="B73" s="7">
        <f>19.32</f>
        <v>19.32</v>
      </c>
      <c r="C73" s="7">
        <f>7.93</f>
        <v>7.93</v>
      </c>
      <c r="D73" s="7">
        <f>(B73)-(C73)</f>
        <v>11.39</v>
      </c>
      <c r="E73" s="8">
        <f>IF(ABS((C73))=0,"",((B73)-(C73))/(ABS((C73))))</f>
        <v>1.4363177805800758</v>
      </c>
    </row>
    <row r="74" spans="1:6" x14ac:dyDescent="0.3">
      <c r="A74" s="5" t="s">
        <v>149</v>
      </c>
      <c r="B74" s="9">
        <f>B73</f>
        <v>19.32</v>
      </c>
      <c r="C74" s="9">
        <f>C73</f>
        <v>7.93</v>
      </c>
      <c r="D74" s="9">
        <f>(B74)-(C74)</f>
        <v>11.39</v>
      </c>
      <c r="E74" s="10">
        <f>IF(ABS((C74))=0,"",((B74)-(C74))/(ABS((C74))))</f>
        <v>1.4363177805800758</v>
      </c>
    </row>
    <row r="75" spans="1:6" x14ac:dyDescent="0.3">
      <c r="A75" s="5" t="s">
        <v>150</v>
      </c>
      <c r="B75" s="9">
        <f>(((B32)-(B71))+(B74))-(0)</f>
        <v>29565.210000000014</v>
      </c>
      <c r="C75" s="9">
        <f>(((C32)-(C71))+(C74))-(0)</f>
        <v>-7382.32</v>
      </c>
      <c r="D75" s="9">
        <f>(B75)-(C75)</f>
        <v>36947.530000000013</v>
      </c>
      <c r="E75" s="10">
        <f>IF(ABS((C75))=0,"",((B75)-(C75))/(ABS((C75))))</f>
        <v>5.0048670336696341</v>
      </c>
    </row>
    <row r="76" spans="1:6" x14ac:dyDescent="0.3">
      <c r="A76" s="5"/>
      <c r="B76" s="6"/>
      <c r="C76" s="6"/>
      <c r="D76" s="6"/>
      <c r="E76" s="6"/>
    </row>
    <row r="79" spans="1:6" x14ac:dyDescent="0.3">
      <c r="A79" s="33" t="s">
        <v>151</v>
      </c>
      <c r="B79" s="29"/>
      <c r="C79" s="29"/>
      <c r="D79" s="29"/>
      <c r="E79" s="29"/>
    </row>
  </sheetData>
  <mergeCells count="5">
    <mergeCell ref="A1:E1"/>
    <mergeCell ref="A2:E2"/>
    <mergeCell ref="A3:E3"/>
    <mergeCell ref="B5:E5"/>
    <mergeCell ref="A79:E7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BW MAC Procedures</vt:lpstr>
      <vt:lpstr>2 - Balance Sheet</vt:lpstr>
      <vt:lpstr>3- Profit and Loss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Corey Dyck</dc:creator>
  <cp:lastModifiedBy>Corey Dyck</cp:lastModifiedBy>
  <dcterms:created xsi:type="dcterms:W3CDTF">2015-06-05T18:17:20Z</dcterms:created>
  <dcterms:modified xsi:type="dcterms:W3CDTF">2022-03-09T23:13:49Z</dcterms:modified>
</cp:coreProperties>
</file>