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11640" windowHeight="5880" firstSheet="2" activeTab="8"/>
  </bookViews>
  <sheets>
    <sheet name="Rates" sheetId="1" r:id="rId1"/>
    <sheet name="Preferred Scenerio" sheetId="6" r:id="rId2"/>
    <sheet name="Status Quo Scenerio" sheetId="9" r:id="rId3"/>
    <sheet name="1000 Capacity Scenerio" sheetId="7" r:id="rId4"/>
    <sheet name="750 Capacity Scenerio" sheetId="8" r:id="rId5"/>
    <sheet name="Bombers-1250" sheetId="2" r:id="rId6"/>
    <sheet name="Bobmers 1000" sheetId="3" r:id="rId7"/>
    <sheet name="Bomber - 750" sheetId="4" r:id="rId8"/>
    <sheet name="Bobmers - 500" sheetId="5" r:id="rId9"/>
    <sheet name="Pricing" sheetId="10" r:id="rId10"/>
  </sheets>
  <calcPr calcId="145621" concurrentCalc="0"/>
</workbook>
</file>

<file path=xl/calcChain.xml><?xml version="1.0" encoding="utf-8"?>
<calcChain xmlns="http://schemas.openxmlformats.org/spreadsheetml/2006/main">
  <c r="O33" i="5" l="1"/>
  <c r="O34" i="5"/>
  <c r="Q33" i="5"/>
  <c r="Q34" i="5"/>
  <c r="C53" i="5"/>
  <c r="F53" i="5"/>
  <c r="R11" i="5"/>
  <c r="S11" i="5"/>
  <c r="R12" i="5"/>
  <c r="S12" i="5"/>
  <c r="P33" i="5"/>
  <c r="P34" i="5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H9" i="2"/>
  <c r="H11" i="2"/>
  <c r="H12" i="2"/>
  <c r="H13" i="2"/>
  <c r="H14" i="2"/>
  <c r="H15" i="2"/>
  <c r="H16" i="2"/>
  <c r="H18" i="2"/>
  <c r="H19" i="2"/>
  <c r="H20" i="2"/>
  <c r="H21" i="2"/>
  <c r="H22" i="2"/>
  <c r="N54" i="5"/>
  <c r="Q54" i="5"/>
  <c r="R54" i="5"/>
  <c r="O69" i="5"/>
  <c r="S33" i="5"/>
  <c r="S34" i="5"/>
  <c r="T33" i="5"/>
  <c r="T34" i="5"/>
  <c r="R33" i="5"/>
  <c r="R34" i="5"/>
  <c r="U33" i="5"/>
  <c r="U34" i="5"/>
  <c r="V33" i="5"/>
  <c r="V34" i="5"/>
  <c r="N33" i="5"/>
  <c r="N34" i="5"/>
  <c r="M33" i="5"/>
  <c r="M34" i="5"/>
  <c r="W33" i="5"/>
  <c r="W34" i="5"/>
  <c r="X34" i="5"/>
  <c r="M59" i="5"/>
  <c r="N59" i="5"/>
  <c r="M55" i="5"/>
  <c r="B44" i="5"/>
  <c r="N55" i="5"/>
  <c r="M56" i="5"/>
  <c r="N56" i="5"/>
  <c r="N52" i="5"/>
  <c r="B41" i="5"/>
  <c r="N53" i="5"/>
  <c r="N57" i="5"/>
  <c r="N58" i="5"/>
  <c r="N60" i="5"/>
  <c r="N61" i="5"/>
  <c r="N62" i="5"/>
  <c r="N63" i="5"/>
  <c r="Q56" i="5"/>
  <c r="G32" i="5"/>
  <c r="H32" i="5"/>
  <c r="J32" i="5"/>
  <c r="B32" i="5"/>
  <c r="C32" i="5"/>
  <c r="D32" i="5"/>
  <c r="E32" i="5"/>
  <c r="F32" i="5"/>
  <c r="I32" i="5"/>
  <c r="K32" i="5"/>
  <c r="B54" i="5"/>
  <c r="B55" i="5"/>
  <c r="C55" i="5"/>
  <c r="C54" i="5"/>
  <c r="C60" i="5"/>
  <c r="Q51" i="5"/>
  <c r="Q52" i="5"/>
  <c r="Q53" i="5"/>
  <c r="Q57" i="5"/>
  <c r="Q58" i="5"/>
  <c r="Q60" i="5"/>
  <c r="Q63" i="5"/>
  <c r="Q65" i="5"/>
  <c r="Q66" i="5"/>
  <c r="O67" i="5"/>
  <c r="R18" i="5"/>
  <c r="S18" i="5"/>
  <c r="R17" i="5"/>
  <c r="S17" i="5"/>
  <c r="R9" i="5"/>
  <c r="S9" i="5"/>
  <c r="R19" i="5"/>
  <c r="S19" i="5"/>
  <c r="R16" i="5"/>
  <c r="S16" i="5"/>
  <c r="R15" i="5"/>
  <c r="S15" i="5"/>
  <c r="R14" i="5"/>
  <c r="S14" i="5"/>
  <c r="R13" i="5"/>
  <c r="S13" i="5"/>
  <c r="R10" i="5"/>
  <c r="S10" i="5"/>
  <c r="R8" i="5"/>
  <c r="S8" i="5"/>
  <c r="S20" i="5"/>
  <c r="J55" i="1"/>
  <c r="I55" i="1"/>
  <c r="H55" i="1"/>
  <c r="G55" i="1"/>
  <c r="F55" i="1"/>
  <c r="O50" i="1"/>
  <c r="P50" i="1"/>
  <c r="Q50" i="1"/>
  <c r="S50" i="1"/>
  <c r="T50" i="1"/>
  <c r="V50" i="1"/>
  <c r="W50" i="1"/>
  <c r="Y50" i="1"/>
  <c r="Z50" i="1"/>
  <c r="AE50" i="1"/>
  <c r="C55" i="1"/>
  <c r="F57" i="5"/>
  <c r="F56" i="5"/>
  <c r="O63" i="5"/>
  <c r="N65" i="5"/>
  <c r="O65" i="5"/>
  <c r="O66" i="5"/>
  <c r="O68" i="5"/>
  <c r="O70" i="5"/>
  <c r="B58" i="5"/>
  <c r="C58" i="5"/>
  <c r="C52" i="5"/>
  <c r="C56" i="5"/>
  <c r="C57" i="5"/>
  <c r="C51" i="5"/>
  <c r="C59" i="5"/>
  <c r="C61" i="5"/>
  <c r="C62" i="5"/>
  <c r="D62" i="5"/>
  <c r="C64" i="5"/>
  <c r="D64" i="5"/>
  <c r="D65" i="5"/>
  <c r="F50" i="5"/>
  <c r="F51" i="5"/>
  <c r="F52" i="5"/>
  <c r="F59" i="5"/>
  <c r="F62" i="5"/>
  <c r="F64" i="5"/>
  <c r="F65" i="5"/>
  <c r="D66" i="5"/>
  <c r="D67" i="5"/>
  <c r="G53" i="5"/>
  <c r="D68" i="5"/>
  <c r="D69" i="5"/>
  <c r="H19" i="1"/>
  <c r="H18" i="1"/>
  <c r="H17" i="1"/>
  <c r="H16" i="1"/>
  <c r="H15" i="1"/>
  <c r="H14" i="1"/>
  <c r="H13" i="1"/>
  <c r="H12" i="1"/>
  <c r="H11" i="1"/>
  <c r="H10" i="1"/>
  <c r="E16" i="1"/>
  <c r="G16" i="1"/>
  <c r="E17" i="1"/>
  <c r="G17" i="1"/>
  <c r="E18" i="1"/>
  <c r="G18" i="1"/>
  <c r="G13" i="1"/>
  <c r="G14" i="1"/>
  <c r="G19" i="1"/>
  <c r="D21" i="1"/>
  <c r="D30" i="1"/>
  <c r="F7" i="1"/>
  <c r="D32" i="1"/>
  <c r="P18" i="8"/>
  <c r="F5" i="8"/>
  <c r="E2" i="8"/>
  <c r="E3" i="8"/>
  <c r="E4" i="8"/>
  <c r="E5" i="8"/>
  <c r="G5" i="8"/>
  <c r="J5" i="8"/>
  <c r="O17" i="8"/>
  <c r="G4" i="8"/>
  <c r="J4" i="8"/>
  <c r="O8" i="8"/>
  <c r="O9" i="8"/>
  <c r="O10" i="8"/>
  <c r="O11" i="8"/>
  <c r="O12" i="8"/>
  <c r="O13" i="8"/>
  <c r="O14" i="8"/>
  <c r="O15" i="8"/>
  <c r="O16" i="8"/>
  <c r="O18" i="8"/>
  <c r="H5" i="8"/>
  <c r="K5" i="8"/>
  <c r="K4" i="8"/>
  <c r="G3" i="8"/>
  <c r="K3" i="8"/>
  <c r="F59" i="2"/>
  <c r="F2" i="8"/>
  <c r="G2" i="8"/>
  <c r="H2" i="8"/>
  <c r="K2" i="8"/>
  <c r="J3" i="8"/>
  <c r="J2" i="8"/>
  <c r="E2" i="7"/>
  <c r="E3" i="7"/>
  <c r="F3" i="7"/>
  <c r="G3" i="7"/>
  <c r="J3" i="7"/>
  <c r="O8" i="7"/>
  <c r="O9" i="7"/>
  <c r="O10" i="7"/>
  <c r="O11" i="7"/>
  <c r="O12" i="7"/>
  <c r="O13" i="7"/>
  <c r="O14" i="7"/>
  <c r="E4" i="7"/>
  <c r="F4" i="7"/>
  <c r="G4" i="7"/>
  <c r="J4" i="7"/>
  <c r="O15" i="7"/>
  <c r="O16" i="7"/>
  <c r="O17" i="7"/>
  <c r="O18" i="7"/>
  <c r="E5" i="7"/>
  <c r="F5" i="7"/>
  <c r="G5" i="7"/>
  <c r="H5" i="7"/>
  <c r="K5" i="7"/>
  <c r="H4" i="7"/>
  <c r="K4" i="7"/>
  <c r="H3" i="7"/>
  <c r="K3" i="7"/>
  <c r="F2" i="7"/>
  <c r="G2" i="7"/>
  <c r="H2" i="7"/>
  <c r="K2" i="7"/>
  <c r="J5" i="7"/>
  <c r="J2" i="7"/>
  <c r="F2" i="6"/>
  <c r="E2" i="6"/>
  <c r="G2" i="6"/>
  <c r="I2" i="6"/>
  <c r="P9" i="6"/>
  <c r="P10" i="6"/>
  <c r="P11" i="6"/>
  <c r="P12" i="6"/>
  <c r="P13" i="6"/>
  <c r="P14" i="6"/>
  <c r="E3" i="6"/>
  <c r="G3" i="6"/>
  <c r="I3" i="6"/>
  <c r="P8" i="6"/>
  <c r="P15" i="6"/>
  <c r="E4" i="6"/>
  <c r="G4" i="6"/>
  <c r="I4" i="6"/>
  <c r="P16" i="6"/>
  <c r="P17" i="6"/>
  <c r="P18" i="6"/>
  <c r="P18" i="9"/>
  <c r="F5" i="9"/>
  <c r="E2" i="9"/>
  <c r="E3" i="9"/>
  <c r="E4" i="9"/>
  <c r="E5" i="9"/>
  <c r="G5" i="9"/>
  <c r="I8" i="9"/>
  <c r="J8" i="9"/>
  <c r="K8" i="9"/>
  <c r="L8" i="9"/>
  <c r="O8" i="9"/>
  <c r="I9" i="9"/>
  <c r="J9" i="9"/>
  <c r="K9" i="9"/>
  <c r="L9" i="9"/>
  <c r="O9" i="9"/>
  <c r="I10" i="9"/>
  <c r="J10" i="9"/>
  <c r="K10" i="9"/>
  <c r="L10" i="9"/>
  <c r="O10" i="9"/>
  <c r="I11" i="9"/>
  <c r="J11" i="9"/>
  <c r="K11" i="9"/>
  <c r="L11" i="9"/>
  <c r="O11" i="9"/>
  <c r="I12" i="9"/>
  <c r="J12" i="9"/>
  <c r="K12" i="9"/>
  <c r="L12" i="9"/>
  <c r="O12" i="9"/>
  <c r="I13" i="9"/>
  <c r="J13" i="9"/>
  <c r="K13" i="9"/>
  <c r="L13" i="9"/>
  <c r="O13" i="9"/>
  <c r="I14" i="9"/>
  <c r="J14" i="9"/>
  <c r="K14" i="9"/>
  <c r="L14" i="9"/>
  <c r="O14" i="9"/>
  <c r="I15" i="9"/>
  <c r="J15" i="9"/>
  <c r="K15" i="9"/>
  <c r="L15" i="9"/>
  <c r="O15" i="9"/>
  <c r="I16" i="9"/>
  <c r="J16" i="9"/>
  <c r="K16" i="9"/>
  <c r="L16" i="9"/>
  <c r="O16" i="9"/>
  <c r="I17" i="9"/>
  <c r="J17" i="9"/>
  <c r="K17" i="9"/>
  <c r="L17" i="9"/>
  <c r="O17" i="9"/>
  <c r="O18" i="9"/>
  <c r="M17" i="9"/>
  <c r="N17" i="9"/>
  <c r="M16" i="9"/>
  <c r="N16" i="9"/>
  <c r="M15" i="9"/>
  <c r="N15" i="9"/>
  <c r="M14" i="9"/>
  <c r="N14" i="9"/>
  <c r="M13" i="9"/>
  <c r="N13" i="9"/>
  <c r="M12" i="9"/>
  <c r="N12" i="9"/>
  <c r="M11" i="9"/>
  <c r="N11" i="9"/>
  <c r="M10" i="9"/>
  <c r="N10" i="9"/>
  <c r="M9" i="9"/>
  <c r="N9" i="9"/>
  <c r="M8" i="9"/>
  <c r="N8" i="9"/>
  <c r="H5" i="9"/>
  <c r="J5" i="9"/>
  <c r="I5" i="9"/>
  <c r="G4" i="9"/>
  <c r="J4" i="9"/>
  <c r="I4" i="9"/>
  <c r="G3" i="9"/>
  <c r="J3" i="9"/>
  <c r="I3" i="9"/>
  <c r="F2" i="9"/>
  <c r="G2" i="9"/>
  <c r="H2" i="9"/>
  <c r="J2" i="9"/>
  <c r="I2" i="9"/>
  <c r="Q18" i="6"/>
  <c r="I9" i="6"/>
  <c r="J9" i="6"/>
  <c r="K9" i="6"/>
  <c r="L9" i="6"/>
  <c r="O9" i="6"/>
  <c r="I10" i="6"/>
  <c r="J10" i="6"/>
  <c r="K10" i="6"/>
  <c r="L10" i="6"/>
  <c r="O10" i="6"/>
  <c r="I11" i="6"/>
  <c r="J11" i="6"/>
  <c r="K11" i="6"/>
  <c r="L11" i="6"/>
  <c r="O11" i="6"/>
  <c r="I12" i="6"/>
  <c r="J12" i="6"/>
  <c r="K12" i="6"/>
  <c r="L12" i="6"/>
  <c r="O12" i="6"/>
  <c r="I13" i="6"/>
  <c r="J13" i="6"/>
  <c r="K13" i="6"/>
  <c r="L13" i="6"/>
  <c r="O13" i="6"/>
  <c r="I14" i="6"/>
  <c r="J14" i="6"/>
  <c r="K14" i="6"/>
  <c r="L14" i="6"/>
  <c r="O14" i="6"/>
  <c r="F3" i="6"/>
  <c r="I8" i="6"/>
  <c r="J8" i="6"/>
  <c r="K8" i="6"/>
  <c r="L8" i="6"/>
  <c r="O8" i="6"/>
  <c r="I15" i="6"/>
  <c r="J15" i="6"/>
  <c r="K15" i="6"/>
  <c r="L15" i="6"/>
  <c r="O15" i="6"/>
  <c r="F4" i="6"/>
  <c r="I16" i="6"/>
  <c r="J16" i="6"/>
  <c r="K16" i="6"/>
  <c r="L16" i="6"/>
  <c r="O16" i="6"/>
  <c r="I17" i="6"/>
  <c r="J17" i="6"/>
  <c r="K17" i="6"/>
  <c r="L17" i="6"/>
  <c r="O17" i="6"/>
  <c r="O18" i="6"/>
  <c r="F3" i="1"/>
  <c r="F4" i="1"/>
  <c r="F5" i="1"/>
  <c r="B36" i="4"/>
  <c r="B36" i="3"/>
  <c r="B52" i="2"/>
  <c r="E5" i="6"/>
  <c r="F5" i="6"/>
  <c r="G5" i="6"/>
  <c r="H5" i="6"/>
  <c r="J5" i="6"/>
  <c r="H4" i="6"/>
  <c r="J4" i="6"/>
  <c r="H3" i="6"/>
  <c r="J3" i="6"/>
  <c r="I5" i="6"/>
  <c r="H2" i="6"/>
  <c r="J2" i="6"/>
  <c r="F69" i="1"/>
  <c r="F68" i="1"/>
  <c r="F67" i="1"/>
  <c r="F66" i="1"/>
  <c r="D65" i="1"/>
  <c r="F65" i="1"/>
  <c r="F64" i="1"/>
  <c r="D63" i="1"/>
  <c r="F63" i="1"/>
  <c r="D69" i="1"/>
  <c r="D68" i="1"/>
  <c r="D67" i="1"/>
  <c r="D66" i="1"/>
  <c r="D64" i="1"/>
  <c r="W52" i="1"/>
  <c r="W51" i="1"/>
  <c r="T51" i="1"/>
  <c r="T52" i="1"/>
  <c r="G10" i="1"/>
  <c r="G11" i="1"/>
  <c r="G12" i="1"/>
  <c r="C43" i="4"/>
  <c r="C50" i="4"/>
  <c r="C52" i="4"/>
  <c r="C49" i="4"/>
  <c r="C43" i="3"/>
  <c r="C50" i="3"/>
  <c r="C49" i="3"/>
  <c r="E52" i="1"/>
  <c r="F50" i="1"/>
  <c r="F51" i="1"/>
  <c r="F52" i="1"/>
  <c r="G52" i="1"/>
  <c r="H52" i="1"/>
  <c r="O52" i="1"/>
  <c r="P52" i="1"/>
  <c r="Q52" i="1"/>
  <c r="B42" i="1"/>
  <c r="R50" i="1"/>
  <c r="R51" i="1"/>
  <c r="R52" i="1"/>
  <c r="S52" i="1"/>
  <c r="V52" i="1"/>
  <c r="X50" i="1"/>
  <c r="X51" i="1"/>
  <c r="X52" i="1"/>
  <c r="Y52" i="1"/>
  <c r="Z52" i="1"/>
  <c r="AE52" i="1"/>
  <c r="C57" i="1"/>
  <c r="AA52" i="1"/>
  <c r="AB52" i="1"/>
  <c r="AC52" i="1"/>
  <c r="AF52" i="1"/>
  <c r="E57" i="1"/>
  <c r="J57" i="1"/>
  <c r="E51" i="1"/>
  <c r="D51" i="1"/>
  <c r="O51" i="1"/>
  <c r="P51" i="1"/>
  <c r="Q51" i="1"/>
  <c r="V51" i="1"/>
  <c r="Y51" i="1"/>
  <c r="G51" i="1"/>
  <c r="H51" i="1"/>
  <c r="S51" i="1"/>
  <c r="Z51" i="1"/>
  <c r="AE51" i="1"/>
  <c r="C56" i="1"/>
  <c r="AA51" i="1"/>
  <c r="AB51" i="1"/>
  <c r="AC51" i="1"/>
  <c r="AF51" i="1"/>
  <c r="E56" i="1"/>
  <c r="J56" i="1"/>
  <c r="E50" i="1"/>
  <c r="G50" i="1"/>
  <c r="H50" i="1"/>
  <c r="D50" i="1"/>
  <c r="AA50" i="1"/>
  <c r="AB50" i="1"/>
  <c r="AC50" i="1"/>
  <c r="AF50" i="1"/>
  <c r="E55" i="1"/>
  <c r="I57" i="1"/>
  <c r="I56" i="1"/>
  <c r="H57" i="1"/>
  <c r="H56" i="1"/>
  <c r="G57" i="1"/>
  <c r="G56" i="1"/>
  <c r="F57" i="1"/>
  <c r="F56" i="1"/>
  <c r="C58" i="2"/>
  <c r="C64" i="2"/>
  <c r="C65" i="2"/>
  <c r="C57" i="2"/>
  <c r="F57" i="2"/>
  <c r="C63" i="2"/>
  <c r="F63" i="2"/>
  <c r="F65" i="2"/>
  <c r="G65" i="2"/>
  <c r="F67" i="2"/>
  <c r="G67" i="2"/>
  <c r="G68" i="2"/>
  <c r="D52" i="1"/>
  <c r="I17" i="8"/>
  <c r="D50" i="4"/>
  <c r="D52" i="4"/>
  <c r="D53" i="4"/>
  <c r="F4" i="8"/>
  <c r="I16" i="8"/>
  <c r="I15" i="8"/>
  <c r="I14" i="8"/>
  <c r="I13" i="8"/>
  <c r="I12" i="8"/>
  <c r="I11" i="8"/>
  <c r="I10" i="8"/>
  <c r="I9" i="8"/>
  <c r="I8" i="8"/>
  <c r="D50" i="3"/>
  <c r="C52" i="3"/>
  <c r="D52" i="3"/>
  <c r="D53" i="3"/>
  <c r="I8" i="7"/>
  <c r="K8" i="7"/>
  <c r="J8" i="7"/>
  <c r="L8" i="7"/>
  <c r="I17" i="7"/>
  <c r="I16" i="7"/>
  <c r="I15" i="7"/>
  <c r="I14" i="7"/>
  <c r="I13" i="7"/>
  <c r="I12" i="7"/>
  <c r="I11" i="7"/>
  <c r="I10" i="7"/>
  <c r="I9" i="7"/>
  <c r="J17" i="8"/>
  <c r="J16" i="8"/>
  <c r="J15" i="8"/>
  <c r="J14" i="8"/>
  <c r="J13" i="8"/>
  <c r="J12" i="8"/>
  <c r="J11" i="8"/>
  <c r="J10" i="8"/>
  <c r="J9" i="8"/>
  <c r="J8" i="8"/>
  <c r="E19" i="1"/>
  <c r="K17" i="8"/>
  <c r="L17" i="8"/>
  <c r="F3" i="8"/>
  <c r="C59" i="2"/>
  <c r="C61" i="2"/>
  <c r="B62" i="2"/>
  <c r="C62" i="2"/>
  <c r="D65" i="2"/>
  <c r="C67" i="2"/>
  <c r="D67" i="2"/>
  <c r="D68" i="2"/>
  <c r="I18" i="8"/>
  <c r="J18" i="8"/>
  <c r="K8" i="8"/>
  <c r="K9" i="8"/>
  <c r="K10" i="8"/>
  <c r="K11" i="8"/>
  <c r="K12" i="8"/>
  <c r="K13" i="8"/>
  <c r="K14" i="8"/>
  <c r="K15" i="8"/>
  <c r="K16" i="8"/>
  <c r="K18" i="8"/>
  <c r="L18" i="8"/>
  <c r="L16" i="8"/>
  <c r="L15" i="8"/>
  <c r="L14" i="8"/>
  <c r="L13" i="8"/>
  <c r="L12" i="8"/>
  <c r="L11" i="8"/>
  <c r="L10" i="8"/>
  <c r="L9" i="8"/>
  <c r="L8" i="8"/>
  <c r="I18" i="7"/>
  <c r="K9" i="7"/>
  <c r="K10" i="7"/>
  <c r="K11" i="7"/>
  <c r="K12" i="7"/>
  <c r="K13" i="7"/>
  <c r="K14" i="7"/>
  <c r="K15" i="7"/>
  <c r="K16" i="7"/>
  <c r="K17" i="7"/>
  <c r="K18" i="7"/>
  <c r="J9" i="7"/>
  <c r="J10" i="7"/>
  <c r="J11" i="7"/>
  <c r="J12" i="7"/>
  <c r="J13" i="7"/>
  <c r="J14" i="7"/>
  <c r="J15" i="7"/>
  <c r="J16" i="7"/>
  <c r="J17" i="7"/>
  <c r="J18" i="7"/>
  <c r="L18" i="7"/>
  <c r="L17" i="7"/>
  <c r="L16" i="7"/>
  <c r="L15" i="7"/>
  <c r="L14" i="7"/>
  <c r="L13" i="7"/>
  <c r="L12" i="7"/>
  <c r="L11" i="7"/>
  <c r="L10" i="7"/>
  <c r="L9" i="7"/>
  <c r="I18" i="6"/>
  <c r="J18" i="6"/>
  <c r="K18" i="6"/>
  <c r="L18" i="6"/>
  <c r="I18" i="9"/>
  <c r="K18" i="9"/>
  <c r="J18" i="9"/>
  <c r="L18" i="9"/>
  <c r="M8" i="8"/>
  <c r="N8" i="8"/>
  <c r="M9" i="8"/>
  <c r="N9" i="8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N18" i="8"/>
  <c r="M18" i="8"/>
  <c r="H18" i="8"/>
  <c r="G18" i="8"/>
  <c r="I5" i="8"/>
  <c r="I4" i="8"/>
  <c r="H4" i="8"/>
  <c r="I3" i="8"/>
  <c r="H3" i="8"/>
  <c r="I2" i="8"/>
  <c r="M8" i="7"/>
  <c r="N8" i="7"/>
  <c r="M9" i="7"/>
  <c r="N9" i="7"/>
  <c r="M10" i="7"/>
  <c r="N10" i="7"/>
  <c r="M11" i="7"/>
  <c r="N11" i="7"/>
  <c r="M12" i="7"/>
  <c r="N12" i="7"/>
  <c r="M13" i="7"/>
  <c r="N13" i="7"/>
  <c r="M14" i="7"/>
  <c r="N14" i="7"/>
  <c r="M15" i="7"/>
  <c r="N15" i="7"/>
  <c r="M16" i="7"/>
  <c r="N16" i="7"/>
  <c r="M17" i="7"/>
  <c r="N17" i="7"/>
  <c r="N18" i="7"/>
  <c r="M18" i="7"/>
  <c r="H18" i="7"/>
  <c r="G8" i="7"/>
  <c r="G18" i="7"/>
  <c r="I5" i="7"/>
  <c r="I4" i="7"/>
  <c r="I3" i="7"/>
  <c r="I2" i="7"/>
  <c r="F3" i="9"/>
  <c r="F4" i="9"/>
  <c r="N18" i="9"/>
  <c r="M18" i="9"/>
  <c r="H18" i="9"/>
  <c r="G18" i="9"/>
  <c r="H4" i="9"/>
  <c r="H3" i="9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N18" i="6"/>
  <c r="M18" i="6"/>
  <c r="G8" i="6"/>
  <c r="F15" i="5"/>
  <c r="F8" i="5"/>
  <c r="F9" i="5"/>
  <c r="F10" i="5"/>
  <c r="F11" i="5"/>
  <c r="F12" i="5"/>
  <c r="F13" i="5"/>
  <c r="F14" i="5"/>
  <c r="F16" i="5"/>
  <c r="F17" i="5"/>
  <c r="F18" i="5"/>
  <c r="F19" i="5"/>
  <c r="G28" i="3"/>
  <c r="F28" i="3"/>
  <c r="E28" i="3"/>
  <c r="D28" i="3"/>
  <c r="C28" i="3"/>
  <c r="B28" i="3"/>
  <c r="J28" i="3"/>
  <c r="I28" i="3"/>
  <c r="H28" i="3"/>
  <c r="J44" i="2"/>
  <c r="D44" i="2"/>
  <c r="C44" i="2"/>
  <c r="B44" i="2"/>
  <c r="I44" i="2"/>
  <c r="H44" i="2"/>
  <c r="G44" i="2"/>
  <c r="F44" i="2"/>
  <c r="E44" i="2"/>
  <c r="F8" i="3"/>
  <c r="F9" i="3"/>
  <c r="F10" i="3"/>
  <c r="F11" i="3"/>
  <c r="F12" i="3"/>
  <c r="F13" i="3"/>
  <c r="F14" i="3"/>
  <c r="F15" i="3"/>
  <c r="F16" i="3"/>
  <c r="F17" i="3"/>
  <c r="F18" i="3"/>
  <c r="F19" i="3"/>
  <c r="F25" i="2"/>
  <c r="F26" i="2"/>
  <c r="F27" i="2"/>
  <c r="F28" i="2"/>
  <c r="F29" i="2"/>
  <c r="F30" i="2"/>
  <c r="F31" i="2"/>
  <c r="F32" i="2"/>
  <c r="F33" i="2"/>
  <c r="F34" i="2"/>
  <c r="F35" i="2"/>
  <c r="F36" i="2"/>
  <c r="J28" i="4"/>
  <c r="I28" i="4"/>
  <c r="H28" i="4"/>
  <c r="G28" i="4"/>
  <c r="F28" i="4"/>
  <c r="E28" i="4"/>
  <c r="D28" i="4"/>
  <c r="C28" i="4"/>
  <c r="B28" i="4"/>
  <c r="K28" i="4"/>
  <c r="F17" i="4"/>
  <c r="F16" i="4"/>
  <c r="F15" i="4"/>
  <c r="F14" i="4"/>
  <c r="F13" i="4"/>
  <c r="F12" i="4"/>
  <c r="F11" i="4"/>
  <c r="F10" i="4"/>
  <c r="F9" i="4"/>
  <c r="F8" i="4"/>
  <c r="F18" i="4"/>
  <c r="K44" i="2"/>
  <c r="B59" i="2"/>
  <c r="K28" i="3"/>
  <c r="B44" i="3"/>
  <c r="G18" i="6"/>
  <c r="H18" i="6"/>
  <c r="F41" i="4"/>
  <c r="C42" i="4"/>
  <c r="F42" i="4"/>
  <c r="F44" i="4"/>
  <c r="C48" i="4"/>
  <c r="F48" i="4"/>
  <c r="F50" i="4"/>
  <c r="G50" i="4"/>
  <c r="F52" i="4"/>
  <c r="G52" i="4"/>
  <c r="G53" i="4"/>
  <c r="C44" i="4"/>
  <c r="C45" i="4"/>
  <c r="C46" i="4"/>
  <c r="B47" i="4"/>
  <c r="C47" i="4"/>
  <c r="G44" i="4"/>
  <c r="F44" i="3"/>
  <c r="F41" i="3"/>
  <c r="C42" i="3"/>
  <c r="F42" i="3"/>
  <c r="C48" i="3"/>
  <c r="F48" i="3"/>
  <c r="F50" i="3"/>
  <c r="G50" i="3"/>
  <c r="F52" i="3"/>
  <c r="G52" i="3"/>
  <c r="G53" i="3"/>
  <c r="C44" i="3"/>
  <c r="C45" i="3"/>
  <c r="C46" i="3"/>
  <c r="B47" i="3"/>
  <c r="C47" i="3"/>
  <c r="G44" i="3"/>
  <c r="F56" i="2"/>
  <c r="G59" i="2"/>
  <c r="C60" i="2"/>
  <c r="P18" i="7"/>
</calcChain>
</file>

<file path=xl/sharedStrings.xml><?xml version="1.0" encoding="utf-8"?>
<sst xmlns="http://schemas.openxmlformats.org/spreadsheetml/2006/main" count="657" uniqueCount="265">
  <si>
    <t>Fixed Costs</t>
  </si>
  <si>
    <t>Depreciation</t>
  </si>
  <si>
    <t>Racks</t>
  </si>
  <si>
    <t>Tents</t>
  </si>
  <si>
    <t>Other</t>
  </si>
  <si>
    <t>Fencing</t>
  </si>
  <si>
    <t>Signage</t>
  </si>
  <si>
    <t>Trailers</t>
  </si>
  <si>
    <t>Amatorization</t>
  </si>
  <si>
    <t>Current Value</t>
  </si>
  <si>
    <t>Salary</t>
  </si>
  <si>
    <t>Small Events</t>
  </si>
  <si>
    <t>Medium Events</t>
  </si>
  <si>
    <t>Large Events</t>
  </si>
  <si>
    <t>Insurance</t>
  </si>
  <si>
    <t>Coordinator Base</t>
  </si>
  <si>
    <t>Website &amp; Promotion</t>
  </si>
  <si>
    <t>Service Hours</t>
  </si>
  <si>
    <t>Capacity</t>
  </si>
  <si>
    <t>Service Hour Rate</t>
  </si>
  <si>
    <t>Setup/Teardown Volunteer Compliment</t>
  </si>
  <si>
    <t>Storage</t>
  </si>
  <si>
    <t>Small Setup</t>
  </si>
  <si>
    <t>Medium Setup</t>
  </si>
  <si>
    <t>Large Setups</t>
  </si>
  <si>
    <t>Service Cost</t>
  </si>
  <si>
    <t># Events</t>
  </si>
  <si>
    <t>Extended Service Hours</t>
  </si>
  <si>
    <t>Service Hours/Event</t>
  </si>
  <si>
    <t>Operating Costs</t>
  </si>
  <si>
    <t>Volunteer Stipends</t>
  </si>
  <si>
    <t>Coordinator Time</t>
  </si>
  <si>
    <t>Hourly Rate</t>
  </si>
  <si>
    <t>Volunteer Recruitment/Retention</t>
  </si>
  <si>
    <t>Assistant Staff Time</t>
  </si>
  <si>
    <t>Transport Cost</t>
  </si>
  <si>
    <t>Setup/Teardown Volunteer Hours</t>
  </si>
  <si>
    <t>Base Operational Volunteer Hours</t>
  </si>
  <si>
    <t>Total Base Volunteer Hours</t>
  </si>
  <si>
    <t>Base Volunteer Cost</t>
  </si>
  <si>
    <t>Volunteer Event Day Support</t>
  </si>
  <si>
    <t>Volunteer Appreciation Support</t>
  </si>
  <si>
    <t>Volunter Cost/Hr</t>
  </si>
  <si>
    <t>Base Coordinator Supervision Hours</t>
  </si>
  <si>
    <t>Base Volunteer Coordination Hours</t>
  </si>
  <si>
    <t>Additional Hourly Fee</t>
  </si>
  <si>
    <t>Operational Volunteer Compliment</t>
  </si>
  <si>
    <t>Volunteer Setup Time</t>
  </si>
  <si>
    <t>Volunteer Teardown Time</t>
  </si>
  <si>
    <t>Volunteer Base Time</t>
  </si>
  <si>
    <t>Base Fee</t>
  </si>
  <si>
    <t>Base Coordinator  Hours</t>
  </si>
  <si>
    <t>Base Coordinator Cost</t>
  </si>
  <si>
    <t>Coordinator Cost/Hr</t>
  </si>
  <si>
    <t>Additional Hours</t>
  </si>
  <si>
    <t>BW %</t>
  </si>
  <si>
    <t>Voluneer Scheduling %</t>
  </si>
  <si>
    <t>Additional Hourly Staff Cost</t>
  </si>
  <si>
    <t>Additional Hourly Volunteer Cost</t>
  </si>
  <si>
    <t>Notes</t>
  </si>
  <si>
    <t>$5/4</t>
  </si>
  <si>
    <t>$250/873</t>
  </si>
  <si>
    <t>$500/873</t>
  </si>
  <si>
    <t>Consumables</t>
  </si>
  <si>
    <t>Average Use</t>
  </si>
  <si>
    <t>Tags</t>
  </si>
  <si>
    <t>Contract Negotiations, Reports, Admin</t>
  </si>
  <si>
    <t>Volunteer Recruitment/Volunteer Party</t>
  </si>
  <si>
    <t xml:space="preserve">Load &amp; Transport </t>
  </si>
  <si>
    <t>Setup</t>
  </si>
  <si>
    <t>Operational Time</t>
  </si>
  <si>
    <t>Tear Down</t>
  </si>
  <si>
    <t>Transport &amp; Unload</t>
  </si>
  <si>
    <t>GT-5.5</t>
  </si>
  <si>
    <t>GT-4</t>
  </si>
  <si>
    <t>GT-3</t>
  </si>
  <si>
    <t>GT-2</t>
  </si>
  <si>
    <t>GT-1</t>
  </si>
  <si>
    <t>GT</t>
  </si>
  <si>
    <t>GT+1</t>
  </si>
  <si>
    <t>GT+2</t>
  </si>
  <si>
    <t>GT+3</t>
  </si>
  <si>
    <t>GT+4</t>
  </si>
  <si>
    <t>GT +1</t>
  </si>
  <si>
    <t>GT +2</t>
  </si>
  <si>
    <t>GT +3</t>
  </si>
  <si>
    <t>GT +4</t>
  </si>
  <si>
    <t>GT + 5.5</t>
  </si>
  <si>
    <t>Drop Off</t>
  </si>
  <si>
    <t>down Time</t>
  </si>
  <si>
    <t>Pickup</t>
  </si>
  <si>
    <t>0</t>
  </si>
  <si>
    <t>Total Volunteers</t>
  </si>
  <si>
    <t>Shift a</t>
  </si>
  <si>
    <t>Shift B</t>
  </si>
  <si>
    <t>Shift C</t>
  </si>
  <si>
    <t>Volunteer Hours</t>
  </si>
  <si>
    <t>Assitant Hours</t>
  </si>
  <si>
    <t>Coord Supervision Hours</t>
  </si>
  <si>
    <t>Transport</t>
  </si>
  <si>
    <t>Coord Load /time</t>
  </si>
  <si>
    <t>Volunteer Schedule Hours</t>
  </si>
  <si>
    <t>Coorrd Unload Time</t>
  </si>
  <si>
    <t>Volunteer Scheudleing %</t>
  </si>
  <si>
    <t>Coord Hourly Rate</t>
  </si>
  <si>
    <t>Assistnat Hourly Rate</t>
  </si>
  <si>
    <t>Volunteer Hour Rate</t>
  </si>
  <si>
    <t>BW Admin Fee</t>
  </si>
  <si>
    <t>In Kind</t>
  </si>
  <si>
    <t>Volunteer Stipen Hourly /rate</t>
  </si>
  <si>
    <t>34 Shifts of 3 hrs</t>
  </si>
  <si>
    <t>102 Volunteer Hours</t>
  </si>
  <si>
    <t>Station supplies</t>
  </si>
  <si>
    <t>Game 1</t>
  </si>
  <si>
    <t>Preseason</t>
  </si>
  <si>
    <t>Game 3</t>
  </si>
  <si>
    <t>Game 5</t>
  </si>
  <si>
    <t>Game 6</t>
  </si>
  <si>
    <t>Game 7</t>
  </si>
  <si>
    <t>Game 8</t>
  </si>
  <si>
    <t>Game 9</t>
  </si>
  <si>
    <t>Game 4</t>
  </si>
  <si>
    <t>Game 2</t>
  </si>
  <si>
    <t>Date</t>
  </si>
  <si>
    <t>Start Time</t>
  </si>
  <si>
    <t>Opponent</t>
  </si>
  <si>
    <t>Toronto</t>
  </si>
  <si>
    <t>Ottawa</t>
  </si>
  <si>
    <t>Edmonton</t>
  </si>
  <si>
    <t>Saskatchewan</t>
  </si>
  <si>
    <t>Montreal</t>
  </si>
  <si>
    <t>Hamilton</t>
  </si>
  <si>
    <t>Calgary</t>
  </si>
  <si>
    <t>BC</t>
  </si>
  <si>
    <t>Average Monthly Temperature</t>
  </si>
  <si>
    <t>Bomber Games</t>
  </si>
  <si>
    <t>Shift D</t>
  </si>
  <si>
    <t>Open Stations</t>
  </si>
  <si>
    <t>Total Volunteer Hours</t>
  </si>
  <si>
    <t>206 Volunteer Hours</t>
  </si>
  <si>
    <t>44 Shifts of 4 hrs + 6 shifts of 5 hrs</t>
  </si>
  <si>
    <t># Stations Open</t>
  </si>
  <si>
    <t>GT + 2</t>
  </si>
  <si>
    <t>GT + 3</t>
  </si>
  <si>
    <t>GT + 4</t>
  </si>
  <si>
    <t>Shift E</t>
  </si>
  <si>
    <t>Shift F</t>
  </si>
  <si>
    <t>Shift G</t>
  </si>
  <si>
    <t>36 Shifts of 4 hrs &amp; 8 shifts of 3 hrs</t>
  </si>
  <si>
    <t>168 Volunteer Hours</t>
  </si>
  <si>
    <t>Shift A</t>
  </si>
  <si>
    <t>92 Volunteer Hours</t>
  </si>
  <si>
    <t>5 Stations</t>
  </si>
  <si>
    <t>4 Stations</t>
  </si>
  <si>
    <t>3 Stations</t>
  </si>
  <si>
    <t>2 Stations</t>
  </si>
  <si>
    <t>Rate</t>
  </si>
  <si>
    <t># Stations</t>
  </si>
  <si>
    <t>Transportation &amp; Load/Unload Fee</t>
  </si>
  <si>
    <t>50% Volunteer Stipends</t>
  </si>
  <si>
    <t>Less Transportation &amp; Load/Unload</t>
  </si>
  <si>
    <t>Base Cost</t>
  </si>
  <si>
    <t>Bomber Buck Cost</t>
  </si>
  <si>
    <t>Base Cost Plus Bobmer Bucks</t>
  </si>
  <si>
    <t>Additional Bomber Racks</t>
  </si>
  <si>
    <t>Full Rate</t>
  </si>
  <si>
    <t>Qty</t>
  </si>
  <si>
    <t>Cost/Unit</t>
  </si>
  <si>
    <t>Additional Bomber Station Equipment</t>
  </si>
  <si>
    <t>Base Cost Plus Bomber Bucks</t>
  </si>
  <si>
    <t>Large Setup</t>
  </si>
  <si>
    <t>Base Operational Hours</t>
  </si>
  <si>
    <t>Rate for Additional Hours</t>
  </si>
  <si>
    <t>50-150</t>
  </si>
  <si>
    <t>150-400</t>
  </si>
  <si>
    <t>Tranportation Costs</t>
  </si>
  <si>
    <t>1 Event running over 2 days, 1 over 3 days</t>
  </si>
  <si>
    <t>We should sell off 2 trailers</t>
  </si>
  <si>
    <t>18 shifts of 4 hours &amp; 6 3hr Shifts</t>
  </si>
  <si>
    <t>Bike Tags</t>
  </si>
  <si>
    <t>4 Hour Setup</t>
  </si>
  <si>
    <t>6 Hour Setup</t>
  </si>
  <si>
    <t>8 Hour Setup</t>
  </si>
  <si>
    <t>10 Hour Setup</t>
  </si>
  <si>
    <t>12 Hour Setup</t>
  </si>
  <si>
    <t>Coord Load Time</t>
  </si>
  <si>
    <t>50 hrs @ $20/hr</t>
  </si>
  <si>
    <t>75 hrs @ $20/hr</t>
  </si>
  <si>
    <t>Flags</t>
  </si>
  <si>
    <t>Small 4 hr</t>
  </si>
  <si>
    <t>Medium 8 hr</t>
  </si>
  <si>
    <t>Large 8 hr</t>
  </si>
  <si>
    <t>Scenario</t>
  </si>
  <si>
    <t>Coord Load/Unload Time</t>
  </si>
  <si>
    <t>Bike Tags Cost</t>
  </si>
  <si>
    <t>Hours</t>
  </si>
  <si>
    <t>Small</t>
  </si>
  <si>
    <t>Medium</t>
  </si>
  <si>
    <t>Large</t>
  </si>
  <si>
    <t>Bombers 500</t>
  </si>
  <si>
    <t>Bombers 750</t>
  </si>
  <si>
    <t>Bombers 1250</t>
  </si>
  <si>
    <t>Bombers 1000</t>
  </si>
  <si>
    <t>Bike Hours/Service Hours</t>
  </si>
  <si>
    <t>Capacity * Hours</t>
  </si>
  <si>
    <t>Base Cost + Volunteer Stipends</t>
  </si>
  <si>
    <t>Base Cost + 50% Volunteer Stipends</t>
  </si>
  <si>
    <t>Full Rate - Transportaion &amp; Load/Unload Fee</t>
  </si>
  <si>
    <t>Rounded Rates - Transportaion</t>
  </si>
  <si>
    <t>Base Cost Volunteer Stipends</t>
  </si>
  <si>
    <t>Base Cost plus Volunteer Stipends</t>
  </si>
  <si>
    <t>Amatorization/Service Hour</t>
  </si>
  <si>
    <t>GT-2.5</t>
  </si>
  <si>
    <t>GT-1.5</t>
  </si>
  <si>
    <t>Storage Savings (per service hour)</t>
  </si>
  <si>
    <t>In Kind Discount</t>
  </si>
  <si>
    <t>Rate Less In Kind Discount</t>
  </si>
  <si>
    <t>GT + 3.5</t>
  </si>
  <si>
    <t>Cost of In-Klind Support</t>
  </si>
  <si>
    <t>Total Bomber Cost</t>
  </si>
  <si>
    <t>GT + 1</t>
  </si>
  <si>
    <t>GT + 4.5</t>
  </si>
  <si>
    <t>GT+0.5</t>
  </si>
  <si>
    <t>GT+1.5</t>
  </si>
  <si>
    <t>GT+2.5</t>
  </si>
  <si>
    <t>GT+3.5</t>
  </si>
  <si>
    <t>GT+4.5</t>
  </si>
  <si>
    <t>Bomber Cost for In Kind Support</t>
  </si>
  <si>
    <t>GT-3 to GT-2.5</t>
  </si>
  <si>
    <t>GT-2.5 to GT-1.5</t>
  </si>
  <si>
    <t>GT-0.5 to GT+0.5</t>
  </si>
  <si>
    <t>GT+0.5 to GT+1.5</t>
  </si>
  <si>
    <t>GT+1.5 to GT+2.5</t>
  </si>
  <si>
    <t>GT+2.5 to GT+3.5</t>
  </si>
  <si>
    <t>GT+3.5 to GT+4</t>
  </si>
  <si>
    <t>GT-5.5 to GT-3.0</t>
  </si>
  <si>
    <t>Down Time</t>
  </si>
  <si>
    <t>GT+4.0 to GT+4.5</t>
  </si>
  <si>
    <t>Teardown</t>
  </si>
  <si>
    <t>GT+4.5 to GT+5.5</t>
  </si>
  <si>
    <t>GT+4.0</t>
  </si>
  <si>
    <t>GT+5.5</t>
  </si>
  <si>
    <t>Assistant Hourly Rate</t>
  </si>
  <si>
    <t>Shift H</t>
  </si>
  <si>
    <t>Coord Inventory/Clean up Time</t>
  </si>
  <si>
    <t>Volunteer Support</t>
  </si>
  <si>
    <t>Volunteer Appreication</t>
  </si>
  <si>
    <t>Volunteer Support/Hour</t>
  </si>
  <si>
    <t>Volunteer Appreciation/Hour</t>
  </si>
  <si>
    <t>Volunteer Stipend Hourly /Rate &amp; Rate/Shift</t>
  </si>
  <si>
    <t>GT-4 to GT-3</t>
  </si>
  <si>
    <t>GT-3 to GT-2</t>
  </si>
  <si>
    <t>GT-2 to GT-1</t>
  </si>
  <si>
    <t>GT-1 to GT</t>
  </si>
  <si>
    <t>GT to GT+1</t>
  </si>
  <si>
    <t>GT+1 to GT+2</t>
  </si>
  <si>
    <t>GT+2 to GT+3</t>
  </si>
  <si>
    <t>GT+3 to GT+4</t>
  </si>
  <si>
    <t>GT-3.5 to GT-3.0</t>
  </si>
  <si>
    <t>GT-5.5 to GT-3.5</t>
  </si>
  <si>
    <t>GT+2.5 to GT+3.0</t>
  </si>
  <si>
    <t>GT+3.0 to GT+4.0</t>
  </si>
  <si>
    <t>GT-1.5 to GT-1.0</t>
  </si>
  <si>
    <t>GT-1.0</t>
  </si>
  <si>
    <t>GT-1.0 to GT-0.5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</si>
</sst>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164" formatCode="&quot;$&quot;#,##0"/>
    <numFmt numFmtId="165" formatCode="&quot;$&quot;#,##0.00"/>
    <numFmt numFmtId="166" formatCode="0.0"/>
    <numFmt numFmtId="167" formatCode="[$-1009]mmmm\ d\,\ yyyy;@"/>
    <numFmt numFmtId="168" formatCode="[$-409]h:mm:ss\ AM/PM;@"/>
    <numFmt numFmtId="169" formatCode="0.0%"/>
    <numFmt numFmtId="170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8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/>
    <xf numFmtId="166" fontId="0" fillId="0" borderId="0" xfId="0" applyNumberFormat="1"/>
    <xf numFmtId="9" fontId="0" fillId="0" borderId="0" xfId="0" applyNumberFormat="1"/>
    <xf numFmtId="1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 wrapText="1"/>
    </xf>
    <xf numFmtId="167" fontId="0" fillId="0" borderId="0" xfId="0" applyNumberFormat="1"/>
    <xf numFmtId="168" fontId="0" fillId="0" borderId="0" xfId="0" applyNumberFormat="1"/>
    <xf numFmtId="1" fontId="0" fillId="0" borderId="0" xfId="0" applyNumberFormat="1" applyAlignment="1">
      <alignment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9" fontId="0" fillId="0" borderId="0" xfId="0" applyNumberFormat="1"/>
    <xf numFmtId="0" fontId="1" fillId="0" borderId="0" xfId="0" applyFont="1"/>
    <xf numFmtId="170" fontId="0" fillId="0" borderId="0" xfId="0" applyNumberFormat="1"/>
    <xf numFmtId="49" fontId="1" fillId="0" borderId="0" xfId="0" applyNumberFormat="1" applyFont="1" applyAlignment="1">
      <alignment wrapText="1"/>
    </xf>
    <xf numFmtId="1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opLeftCell="A37" workbookViewId="0">
      <selection activeCell="G57" sqref="G57"/>
    </sheetView>
  </sheetViews>
  <sheetFormatPr defaultRowHeight="15" x14ac:dyDescent="0.25"/>
  <cols>
    <col min="1" max="1" width="27.85546875" bestFit="1" customWidth="1"/>
    <col min="3" max="3" width="10.42578125" customWidth="1"/>
    <col min="4" max="4" width="13.7109375" bestFit="1" customWidth="1"/>
    <col min="5" max="5" width="15.5703125" customWidth="1"/>
    <col min="6" max="6" width="15.7109375" bestFit="1" customWidth="1"/>
    <col min="7" max="8" width="15.7109375" customWidth="1"/>
    <col min="9" max="9" width="13.140625" customWidth="1"/>
    <col min="10" max="12" width="11.7109375" customWidth="1"/>
    <col min="13" max="13" width="15.28515625" customWidth="1"/>
    <col min="14" max="14" width="11.7109375" customWidth="1"/>
    <col min="15" max="15" width="12.28515625" customWidth="1"/>
    <col min="16" max="20" width="12.5703125" customWidth="1"/>
    <col min="21" max="21" width="12.42578125" customWidth="1"/>
    <col min="22" max="22" width="10.28515625" bestFit="1" customWidth="1"/>
    <col min="23" max="24" width="12" customWidth="1"/>
    <col min="25" max="25" width="11.42578125" customWidth="1"/>
    <col min="27" max="27" width="10.7109375" customWidth="1"/>
    <col min="32" max="32" width="10.5703125" customWidth="1"/>
  </cols>
  <sheetData>
    <row r="1" spans="1:9" x14ac:dyDescent="0.25">
      <c r="E1" s="5"/>
    </row>
    <row r="2" spans="1:9" s="3" customFormat="1" ht="30" x14ac:dyDescent="0.25">
      <c r="C2" s="3" t="s">
        <v>26</v>
      </c>
      <c r="D2" s="3" t="s">
        <v>175</v>
      </c>
      <c r="E2" s="3" t="s">
        <v>28</v>
      </c>
      <c r="F2" s="3" t="s">
        <v>27</v>
      </c>
    </row>
    <row r="3" spans="1:9" x14ac:dyDescent="0.25">
      <c r="A3" t="s">
        <v>17</v>
      </c>
      <c r="B3" s="18" t="s">
        <v>11</v>
      </c>
      <c r="C3">
        <v>3</v>
      </c>
      <c r="D3" s="7">
        <v>25</v>
      </c>
      <c r="E3">
        <v>1</v>
      </c>
      <c r="F3">
        <f>C3*E3</f>
        <v>3</v>
      </c>
    </row>
    <row r="4" spans="1:9" x14ac:dyDescent="0.25">
      <c r="B4" s="18" t="s">
        <v>12</v>
      </c>
      <c r="C4">
        <v>4</v>
      </c>
      <c r="D4" s="7">
        <v>50</v>
      </c>
      <c r="E4">
        <v>3.25</v>
      </c>
      <c r="F4">
        <f>C4*E4</f>
        <v>13</v>
      </c>
    </row>
    <row r="5" spans="1:9" x14ac:dyDescent="0.25">
      <c r="B5" s="18" t="s">
        <v>13</v>
      </c>
      <c r="C5">
        <v>9</v>
      </c>
      <c r="D5" s="7">
        <v>95</v>
      </c>
      <c r="E5">
        <v>6.75</v>
      </c>
      <c r="F5">
        <f>C5*E5</f>
        <v>60.75</v>
      </c>
      <c r="G5" t="s">
        <v>176</v>
      </c>
    </row>
    <row r="6" spans="1:9" x14ac:dyDescent="0.25">
      <c r="B6" s="18" t="s">
        <v>135</v>
      </c>
      <c r="C6">
        <v>10</v>
      </c>
      <c r="D6" s="7">
        <v>95</v>
      </c>
      <c r="E6">
        <v>12</v>
      </c>
      <c r="F6">
        <v>120</v>
      </c>
    </row>
    <row r="7" spans="1:9" x14ac:dyDescent="0.25">
      <c r="F7">
        <f>SUM(F3:F6)</f>
        <v>196.75</v>
      </c>
    </row>
    <row r="9" spans="1:9" x14ac:dyDescent="0.25">
      <c r="A9" t="s">
        <v>1</v>
      </c>
      <c r="C9" t="s">
        <v>166</v>
      </c>
      <c r="D9" t="s">
        <v>167</v>
      </c>
      <c r="E9" t="s">
        <v>9</v>
      </c>
      <c r="F9" t="s">
        <v>8</v>
      </c>
      <c r="H9" t="s">
        <v>211</v>
      </c>
    </row>
    <row r="10" spans="1:9" x14ac:dyDescent="0.25">
      <c r="B10" s="18" t="s">
        <v>2</v>
      </c>
      <c r="C10" s="18"/>
      <c r="D10" s="18"/>
      <c r="E10" s="7">
        <v>1400</v>
      </c>
      <c r="F10">
        <v>10</v>
      </c>
      <c r="G10" s="1">
        <f>SLN(E10,0,F10)</f>
        <v>140</v>
      </c>
      <c r="H10" s="1">
        <f>G10/F7</f>
        <v>0.71156289707750953</v>
      </c>
    </row>
    <row r="11" spans="1:9" x14ac:dyDescent="0.25">
      <c r="B11" s="18" t="s">
        <v>5</v>
      </c>
      <c r="C11" s="18"/>
      <c r="D11" s="18"/>
      <c r="E11" s="7">
        <v>231</v>
      </c>
      <c r="F11">
        <v>8</v>
      </c>
      <c r="G11" s="1">
        <f>SLN(E11,0,F11)</f>
        <v>28.875</v>
      </c>
      <c r="H11" s="1">
        <f>G11/F7</f>
        <v>0.14675984752223634</v>
      </c>
    </row>
    <row r="12" spans="1:9" x14ac:dyDescent="0.25">
      <c r="B12" s="18" t="s">
        <v>3</v>
      </c>
      <c r="C12" s="18"/>
      <c r="D12" s="18"/>
      <c r="E12" s="7">
        <v>800</v>
      </c>
      <c r="F12">
        <v>8</v>
      </c>
      <c r="G12" s="1">
        <f>SLN(E12,0,F12)</f>
        <v>100</v>
      </c>
      <c r="H12" s="1">
        <f>G12/F7</f>
        <v>0.50825921219822112</v>
      </c>
    </row>
    <row r="13" spans="1:9" x14ac:dyDescent="0.25">
      <c r="B13" s="18" t="s">
        <v>6</v>
      </c>
      <c r="C13" s="18"/>
      <c r="D13" s="18"/>
      <c r="E13" s="7">
        <v>450</v>
      </c>
      <c r="F13">
        <v>8</v>
      </c>
      <c r="G13" s="1">
        <f>SLN(E13,0,F13)</f>
        <v>56.25</v>
      </c>
      <c r="H13" s="1">
        <f>G13/F7</f>
        <v>0.28589580686149935</v>
      </c>
    </row>
    <row r="14" spans="1:9" x14ac:dyDescent="0.25">
      <c r="B14" s="18" t="s">
        <v>7</v>
      </c>
      <c r="C14" s="18"/>
      <c r="D14" s="18"/>
      <c r="E14" s="7">
        <v>1800</v>
      </c>
      <c r="F14">
        <v>8</v>
      </c>
      <c r="G14" s="1">
        <f>SLN(E14,0,F14)</f>
        <v>225</v>
      </c>
      <c r="H14" s="1">
        <f>G14/F7</f>
        <v>1.1435832274459974</v>
      </c>
      <c r="I14" t="s">
        <v>177</v>
      </c>
    </row>
    <row r="15" spans="1:9" x14ac:dyDescent="0.25">
      <c r="B15" s="18" t="s">
        <v>4</v>
      </c>
      <c r="C15" s="18"/>
      <c r="D15" s="18"/>
      <c r="E15" s="7">
        <v>0</v>
      </c>
      <c r="F15">
        <v>5</v>
      </c>
      <c r="G15" s="1">
        <v>0</v>
      </c>
      <c r="H15" s="1">
        <f>G15/F7</f>
        <v>0</v>
      </c>
    </row>
    <row r="16" spans="1:9" x14ac:dyDescent="0.25">
      <c r="B16" s="18" t="s">
        <v>168</v>
      </c>
      <c r="C16" s="18">
        <v>0</v>
      </c>
      <c r="D16" s="19">
        <v>1900</v>
      </c>
      <c r="E16" s="7">
        <f>C16*D16</f>
        <v>0</v>
      </c>
      <c r="F16">
        <v>8</v>
      </c>
      <c r="G16" s="1">
        <f>E16/F16</f>
        <v>0</v>
      </c>
      <c r="H16" s="1">
        <f>G16/F7</f>
        <v>0</v>
      </c>
    </row>
    <row r="17" spans="1:8" x14ac:dyDescent="0.25">
      <c r="B17" s="18" t="s">
        <v>164</v>
      </c>
      <c r="C17" s="18">
        <v>0</v>
      </c>
      <c r="D17" s="19">
        <v>50</v>
      </c>
      <c r="E17" s="7">
        <f>C17*D17</f>
        <v>0</v>
      </c>
      <c r="F17">
        <v>10</v>
      </c>
      <c r="G17" s="1">
        <f>E17/F17</f>
        <v>0</v>
      </c>
      <c r="H17" s="1">
        <f>G17/F7</f>
        <v>0</v>
      </c>
    </row>
    <row r="18" spans="1:8" x14ac:dyDescent="0.25">
      <c r="B18" s="18" t="s">
        <v>188</v>
      </c>
      <c r="C18" s="18">
        <v>0</v>
      </c>
      <c r="D18" s="19">
        <v>500</v>
      </c>
      <c r="E18" s="7">
        <f>C18*D18</f>
        <v>0</v>
      </c>
      <c r="F18">
        <v>8</v>
      </c>
      <c r="G18" s="1">
        <f>E18/F18</f>
        <v>0</v>
      </c>
      <c r="H18" s="1">
        <f>G18/F7</f>
        <v>0</v>
      </c>
    </row>
    <row r="19" spans="1:8" x14ac:dyDescent="0.25">
      <c r="E19" s="7">
        <f>SUM(E10:E18)</f>
        <v>4681</v>
      </c>
      <c r="G19" s="1">
        <f>SUM(G10:G18)</f>
        <v>550.125</v>
      </c>
      <c r="H19" s="1">
        <f>SUM(H10:H18)</f>
        <v>2.7960609911054641</v>
      </c>
    </row>
    <row r="20" spans="1:8" x14ac:dyDescent="0.25">
      <c r="A20" t="s">
        <v>0</v>
      </c>
      <c r="F20" s="1"/>
      <c r="G20" s="1"/>
      <c r="H20" s="1"/>
    </row>
    <row r="21" spans="1:8" x14ac:dyDescent="0.25">
      <c r="A21" s="18" t="s">
        <v>1</v>
      </c>
      <c r="D21" s="5">
        <f>G19</f>
        <v>550.125</v>
      </c>
    </row>
    <row r="22" spans="1:8" x14ac:dyDescent="0.25">
      <c r="A22" s="18" t="s">
        <v>21</v>
      </c>
      <c r="D22" s="5">
        <v>480</v>
      </c>
    </row>
    <row r="23" spans="1:8" x14ac:dyDescent="0.25">
      <c r="A23" s="18" t="s">
        <v>10</v>
      </c>
      <c r="D23" s="5"/>
    </row>
    <row r="24" spans="1:8" s="3" customFormat="1" ht="45" x14ac:dyDescent="0.25">
      <c r="B24" s="3" t="s">
        <v>15</v>
      </c>
      <c r="D24" s="6">
        <v>1500</v>
      </c>
      <c r="E24" s="3" t="s">
        <v>66</v>
      </c>
      <c r="H24" s="3" t="s">
        <v>187</v>
      </c>
    </row>
    <row r="25" spans="1:8" x14ac:dyDescent="0.25">
      <c r="D25" s="5"/>
    </row>
    <row r="26" spans="1:8" x14ac:dyDescent="0.25">
      <c r="A26" t="s">
        <v>14</v>
      </c>
      <c r="D26" s="5">
        <v>667</v>
      </c>
    </row>
    <row r="27" spans="1:8" x14ac:dyDescent="0.25">
      <c r="A27" t="s">
        <v>33</v>
      </c>
      <c r="D27" s="5">
        <v>1000</v>
      </c>
      <c r="E27" t="s">
        <v>67</v>
      </c>
      <c r="H27" t="s">
        <v>186</v>
      </c>
    </row>
    <row r="28" spans="1:8" x14ac:dyDescent="0.25">
      <c r="A28" t="s">
        <v>16</v>
      </c>
      <c r="D28" s="5">
        <v>780</v>
      </c>
    </row>
    <row r="29" spans="1:8" x14ac:dyDescent="0.25">
      <c r="A29" t="s">
        <v>112</v>
      </c>
      <c r="D29" s="5">
        <v>100</v>
      </c>
    </row>
    <row r="30" spans="1:8" x14ac:dyDescent="0.25">
      <c r="D30" s="5">
        <f>SUM(D21:D29)</f>
        <v>5077.125</v>
      </c>
    </row>
    <row r="32" spans="1:8" x14ac:dyDescent="0.25">
      <c r="A32" t="s">
        <v>19</v>
      </c>
      <c r="D32" s="7">
        <f>D30/F7</f>
        <v>25.804955527318931</v>
      </c>
    </row>
    <row r="33" spans="1:4" x14ac:dyDescent="0.25">
      <c r="D33" s="7"/>
    </row>
    <row r="34" spans="1:4" x14ac:dyDescent="0.25">
      <c r="D34" s="7"/>
    </row>
    <row r="35" spans="1:4" x14ac:dyDescent="0.25">
      <c r="D35" s="7"/>
    </row>
    <row r="36" spans="1:4" x14ac:dyDescent="0.25">
      <c r="D36" s="7"/>
    </row>
    <row r="37" spans="1:4" x14ac:dyDescent="0.25">
      <c r="D37" s="7"/>
    </row>
    <row r="38" spans="1:4" x14ac:dyDescent="0.25">
      <c r="A38" t="s">
        <v>29</v>
      </c>
      <c r="B38" t="s">
        <v>32</v>
      </c>
      <c r="D38" s="7" t="s">
        <v>59</v>
      </c>
    </row>
    <row r="39" spans="1:4" x14ac:dyDescent="0.25">
      <c r="A39" t="s">
        <v>30</v>
      </c>
      <c r="B39" s="7">
        <v>1.25</v>
      </c>
      <c r="D39" s="11" t="s">
        <v>60</v>
      </c>
    </row>
    <row r="40" spans="1:4" x14ac:dyDescent="0.25">
      <c r="A40" t="s">
        <v>40</v>
      </c>
      <c r="B40" s="7">
        <v>0.3</v>
      </c>
      <c r="D40" s="11" t="s">
        <v>61</v>
      </c>
    </row>
    <row r="41" spans="1:4" x14ac:dyDescent="0.25">
      <c r="A41" t="s">
        <v>41</v>
      </c>
      <c r="B41" s="7">
        <v>0.5</v>
      </c>
      <c r="D41" s="11" t="s">
        <v>62</v>
      </c>
    </row>
    <row r="42" spans="1:4" x14ac:dyDescent="0.25">
      <c r="B42" s="7">
        <f>SUM(B39:B41)</f>
        <v>2.0499999999999998</v>
      </c>
      <c r="D42" s="11"/>
    </row>
    <row r="43" spans="1:4" x14ac:dyDescent="0.25">
      <c r="B43" s="7"/>
      <c r="D43" s="7"/>
    </row>
    <row r="44" spans="1:4" x14ac:dyDescent="0.25">
      <c r="A44" t="s">
        <v>31</v>
      </c>
      <c r="B44" s="7">
        <v>20</v>
      </c>
      <c r="D44" s="7"/>
    </row>
    <row r="45" spans="1:4" x14ac:dyDescent="0.25">
      <c r="A45" t="s">
        <v>34</v>
      </c>
      <c r="B45" s="7">
        <v>11.5</v>
      </c>
      <c r="D45" s="7"/>
    </row>
    <row r="46" spans="1:4" x14ac:dyDescent="0.25">
      <c r="B46" s="7"/>
      <c r="D46" s="7"/>
    </row>
    <row r="47" spans="1:4" x14ac:dyDescent="0.25">
      <c r="A47" t="s">
        <v>63</v>
      </c>
      <c r="B47" s="7"/>
      <c r="D47" s="7"/>
    </row>
    <row r="48" spans="1:4" x14ac:dyDescent="0.25">
      <c r="A48" t="s">
        <v>65</v>
      </c>
      <c r="B48" s="7">
        <v>0.1</v>
      </c>
    </row>
    <row r="49" spans="1:32" s="2" customFormat="1" ht="75" x14ac:dyDescent="0.25">
      <c r="B49" s="2" t="s">
        <v>18</v>
      </c>
      <c r="C49" s="2" t="s">
        <v>64</v>
      </c>
      <c r="D49" s="2" t="s">
        <v>17</v>
      </c>
      <c r="E49" s="2" t="s">
        <v>25</v>
      </c>
      <c r="F49" s="2" t="s">
        <v>194</v>
      </c>
      <c r="G49" s="2" t="s">
        <v>63</v>
      </c>
      <c r="H49" s="2" t="s">
        <v>35</v>
      </c>
      <c r="I49" s="2" t="s">
        <v>193</v>
      </c>
      <c r="J49" s="2" t="s">
        <v>20</v>
      </c>
      <c r="K49" s="2" t="s">
        <v>46</v>
      </c>
      <c r="L49" s="2" t="s">
        <v>47</v>
      </c>
      <c r="M49" s="2" t="s">
        <v>48</v>
      </c>
      <c r="N49" s="2" t="s">
        <v>49</v>
      </c>
      <c r="O49" s="2" t="s">
        <v>36</v>
      </c>
      <c r="P49" s="2" t="s">
        <v>37</v>
      </c>
      <c r="Q49" s="2" t="s">
        <v>38</v>
      </c>
      <c r="R49" s="2" t="s">
        <v>42</v>
      </c>
      <c r="S49" s="2" t="s">
        <v>39</v>
      </c>
      <c r="T49" s="2" t="s">
        <v>43</v>
      </c>
      <c r="U49" s="2" t="s">
        <v>56</v>
      </c>
      <c r="V49" s="2" t="s">
        <v>44</v>
      </c>
      <c r="W49" s="2" t="s">
        <v>51</v>
      </c>
      <c r="X49" s="2" t="s">
        <v>53</v>
      </c>
      <c r="Y49" s="2" t="s">
        <v>52</v>
      </c>
      <c r="Z49" s="2" t="s">
        <v>50</v>
      </c>
      <c r="AA49" s="2" t="s">
        <v>58</v>
      </c>
      <c r="AB49" s="2" t="s">
        <v>57</v>
      </c>
      <c r="AC49" s="2" t="s">
        <v>45</v>
      </c>
      <c r="AD49" s="2" t="s">
        <v>55</v>
      </c>
      <c r="AE49" s="2" t="s">
        <v>50</v>
      </c>
      <c r="AF49" s="2" t="s">
        <v>54</v>
      </c>
    </row>
    <row r="50" spans="1:32" x14ac:dyDescent="0.25">
      <c r="A50" t="s">
        <v>22</v>
      </c>
      <c r="B50">
        <v>50</v>
      </c>
      <c r="C50">
        <v>25</v>
      </c>
      <c r="D50">
        <f>E3</f>
        <v>1</v>
      </c>
      <c r="E50" s="7">
        <f>E3*D32</f>
        <v>25.804955527318931</v>
      </c>
      <c r="F50" s="7">
        <f>B48</f>
        <v>0.1</v>
      </c>
      <c r="G50" s="7">
        <f>C50*F50</f>
        <v>2.5</v>
      </c>
      <c r="H50" s="5">
        <f>D3</f>
        <v>25</v>
      </c>
      <c r="I50" s="22">
        <v>0</v>
      </c>
      <c r="J50" s="4">
        <v>2</v>
      </c>
      <c r="K50" s="4">
        <v>2</v>
      </c>
      <c r="L50" s="8">
        <v>0.5</v>
      </c>
      <c r="M50" s="8">
        <v>0.5</v>
      </c>
      <c r="N50" s="8">
        <v>3</v>
      </c>
      <c r="O50" s="8">
        <f>J50*(L50+M50)</f>
        <v>2</v>
      </c>
      <c r="P50" s="8">
        <f>K50*N50</f>
        <v>6</v>
      </c>
      <c r="Q50" s="8">
        <f>O50+P50</f>
        <v>8</v>
      </c>
      <c r="R50" s="7">
        <f>B42</f>
        <v>2.0499999999999998</v>
      </c>
      <c r="S50" s="7">
        <f>Q50*R50</f>
        <v>16.399999999999999</v>
      </c>
      <c r="T50" s="4">
        <f>L50+M50+N50</f>
        <v>4</v>
      </c>
      <c r="U50" s="10">
        <v>0.1</v>
      </c>
      <c r="V50">
        <f>Q50*U50</f>
        <v>0.8</v>
      </c>
      <c r="W50" s="22">
        <f>I50+T50+V50</f>
        <v>4.8</v>
      </c>
      <c r="X50" s="7">
        <f>B44</f>
        <v>20</v>
      </c>
      <c r="Y50" s="7">
        <f>W50*X50</f>
        <v>96</v>
      </c>
      <c r="Z50" s="7">
        <f>E50+G50+H50+S50+Y50</f>
        <v>165.70495552731893</v>
      </c>
      <c r="AA50" s="7">
        <f>K50*R50</f>
        <v>4.0999999999999996</v>
      </c>
      <c r="AB50" s="7">
        <f>(1+K50*U50)*X50</f>
        <v>24</v>
      </c>
      <c r="AC50" s="7">
        <f>AA50+AB50</f>
        <v>28.1</v>
      </c>
      <c r="AD50" s="9">
        <v>0.15</v>
      </c>
      <c r="AE50" s="7">
        <f>(1+AD50)*Z50</f>
        <v>190.56069885641676</v>
      </c>
      <c r="AF50" s="7">
        <f>(1+AD50)*AC50</f>
        <v>32.314999999999998</v>
      </c>
    </row>
    <row r="51" spans="1:32" x14ac:dyDescent="0.25">
      <c r="A51" t="s">
        <v>23</v>
      </c>
      <c r="B51">
        <v>150</v>
      </c>
      <c r="C51">
        <v>75</v>
      </c>
      <c r="D51">
        <f>E4</f>
        <v>3.25</v>
      </c>
      <c r="E51" s="7">
        <f>E4*D32</f>
        <v>83.866105463786525</v>
      </c>
      <c r="F51" s="7">
        <f>F50</f>
        <v>0.1</v>
      </c>
      <c r="G51" s="7">
        <f>C51*F51</f>
        <v>7.5</v>
      </c>
      <c r="H51" s="5">
        <f>D4</f>
        <v>50</v>
      </c>
      <c r="I51" s="22">
        <v>1</v>
      </c>
      <c r="J51" s="4">
        <v>4</v>
      </c>
      <c r="K51" s="4">
        <v>6</v>
      </c>
      <c r="L51" s="8">
        <v>1</v>
      </c>
      <c r="M51" s="8">
        <v>1</v>
      </c>
      <c r="N51" s="8">
        <v>4</v>
      </c>
      <c r="O51" s="8">
        <f>J51*(L51+M51)</f>
        <v>8</v>
      </c>
      <c r="P51" s="8">
        <f>K51*N51</f>
        <v>24</v>
      </c>
      <c r="Q51" s="8">
        <f>O51+P51</f>
        <v>32</v>
      </c>
      <c r="R51" s="7">
        <f>R50</f>
        <v>2.0499999999999998</v>
      </c>
      <c r="S51" s="7">
        <f>Q51*R51</f>
        <v>65.599999999999994</v>
      </c>
      <c r="T51" s="4">
        <f>L51+M51+N51</f>
        <v>6</v>
      </c>
      <c r="U51" s="10">
        <v>0.1</v>
      </c>
      <c r="V51">
        <f>Q51*U51</f>
        <v>3.2</v>
      </c>
      <c r="W51" s="22">
        <f>I51+T51+V51</f>
        <v>10.199999999999999</v>
      </c>
      <c r="X51" s="7">
        <f>X50</f>
        <v>20</v>
      </c>
      <c r="Y51" s="7">
        <f>W51*X51</f>
        <v>204</v>
      </c>
      <c r="Z51" s="7">
        <f>E51+G51+H51+S51+Y51</f>
        <v>410.96610546378656</v>
      </c>
      <c r="AA51" s="7">
        <f>K51*R51</f>
        <v>12.299999999999999</v>
      </c>
      <c r="AB51" s="7">
        <f>(1+K51*U51)*X51</f>
        <v>32</v>
      </c>
      <c r="AC51" s="7">
        <f>AA51+AB51</f>
        <v>44.3</v>
      </c>
      <c r="AD51" s="9">
        <v>0.15</v>
      </c>
      <c r="AE51" s="7">
        <f>(1+AD51)*Z51</f>
        <v>472.61102128335449</v>
      </c>
      <c r="AF51" s="7">
        <f>(1+AD51)*AC51</f>
        <v>50.944999999999993</v>
      </c>
    </row>
    <row r="52" spans="1:32" x14ac:dyDescent="0.25">
      <c r="A52" t="s">
        <v>24</v>
      </c>
      <c r="B52">
        <v>400</v>
      </c>
      <c r="C52">
        <v>300</v>
      </c>
      <c r="D52">
        <f>E5</f>
        <v>6.75</v>
      </c>
      <c r="E52" s="7">
        <f>E5*D32</f>
        <v>174.18344980940279</v>
      </c>
      <c r="F52" s="7">
        <f>F51</f>
        <v>0.1</v>
      </c>
      <c r="G52" s="7">
        <f>C52*F52</f>
        <v>30</v>
      </c>
      <c r="H52" s="5">
        <f>D5</f>
        <v>95</v>
      </c>
      <c r="I52" s="22">
        <v>2</v>
      </c>
      <c r="J52" s="4">
        <v>8</v>
      </c>
      <c r="K52" s="4">
        <v>12</v>
      </c>
      <c r="L52" s="8">
        <v>1</v>
      </c>
      <c r="M52" s="8">
        <v>1</v>
      </c>
      <c r="N52" s="8">
        <v>4</v>
      </c>
      <c r="O52" s="8">
        <f>J52*(L52+M52)</f>
        <v>16</v>
      </c>
      <c r="P52" s="8">
        <f>K52*N52</f>
        <v>48</v>
      </c>
      <c r="Q52" s="8">
        <f>O52+P52</f>
        <v>64</v>
      </c>
      <c r="R52" s="7">
        <f>R51</f>
        <v>2.0499999999999998</v>
      </c>
      <c r="S52" s="7">
        <f>Q52*R52</f>
        <v>131.19999999999999</v>
      </c>
      <c r="T52" s="4">
        <f>L52+M52+N52</f>
        <v>6</v>
      </c>
      <c r="U52" s="10">
        <v>0.1</v>
      </c>
      <c r="V52">
        <f>Q52*U52</f>
        <v>6.4</v>
      </c>
      <c r="W52" s="22">
        <f>I52+T52+V52</f>
        <v>14.4</v>
      </c>
      <c r="X52" s="7">
        <f>X51</f>
        <v>20</v>
      </c>
      <c r="Y52" s="7">
        <f>W52*X52</f>
        <v>288</v>
      </c>
      <c r="Z52" s="7">
        <f>E52+G52+H52+S52+Y52</f>
        <v>718.38344980940269</v>
      </c>
      <c r="AA52" s="7">
        <f>K52*R52</f>
        <v>24.599999999999998</v>
      </c>
      <c r="AB52" s="7">
        <f>(1+K52*U52)*X52</f>
        <v>44</v>
      </c>
      <c r="AC52" s="7">
        <f>AA52+AB52</f>
        <v>68.599999999999994</v>
      </c>
      <c r="AD52" s="9">
        <v>0.15</v>
      </c>
      <c r="AE52" s="7">
        <f>(1+AD52)*Z52</f>
        <v>826.14096728081302</v>
      </c>
      <c r="AF52" s="7">
        <f>(1+AD52)*AC52</f>
        <v>78.889999999999986</v>
      </c>
    </row>
    <row r="54" spans="1:32" s="2" customFormat="1" ht="45" x14ac:dyDescent="0.25">
      <c r="B54" s="2" t="s">
        <v>18</v>
      </c>
      <c r="C54" s="2" t="s">
        <v>161</v>
      </c>
      <c r="D54" s="2" t="s">
        <v>171</v>
      </c>
      <c r="E54" s="2" t="s">
        <v>172</v>
      </c>
      <c r="F54" s="2" t="s">
        <v>180</v>
      </c>
      <c r="G54" s="2" t="s">
        <v>181</v>
      </c>
      <c r="H54" s="2" t="s">
        <v>182</v>
      </c>
      <c r="I54" s="2" t="s">
        <v>183</v>
      </c>
      <c r="J54" s="2" t="s">
        <v>184</v>
      </c>
    </row>
    <row r="55" spans="1:32" x14ac:dyDescent="0.25">
      <c r="A55" t="s">
        <v>22</v>
      </c>
      <c r="B55" s="2">
        <v>50</v>
      </c>
      <c r="C55" s="7">
        <f>AE50</f>
        <v>190.56069885641676</v>
      </c>
      <c r="D55">
        <v>3</v>
      </c>
      <c r="E55" s="7">
        <f>AF50</f>
        <v>32.314999999999998</v>
      </c>
      <c r="F55" s="7">
        <f>C55+1*E55</f>
        <v>222.87569885641676</v>
      </c>
      <c r="G55" s="7">
        <f>C55+3*E55</f>
        <v>287.50569885641676</v>
      </c>
      <c r="H55" s="7">
        <f>C55+5*E55</f>
        <v>352.13569885641675</v>
      </c>
      <c r="I55" s="7">
        <f>C55+7*E55</f>
        <v>416.76569885641675</v>
      </c>
      <c r="J55" s="7">
        <f>C55+9*E55</f>
        <v>481.39569885641674</v>
      </c>
    </row>
    <row r="56" spans="1:32" x14ac:dyDescent="0.25">
      <c r="A56" t="s">
        <v>23</v>
      </c>
      <c r="B56" s="2" t="s">
        <v>173</v>
      </c>
      <c r="C56" s="7">
        <f>AE51</f>
        <v>472.61102128335449</v>
      </c>
      <c r="D56">
        <v>4</v>
      </c>
      <c r="E56" s="7">
        <f>AF51</f>
        <v>50.944999999999993</v>
      </c>
      <c r="F56" s="7">
        <f>C56</f>
        <v>472.61102128335449</v>
      </c>
      <c r="G56" s="7">
        <f>C56+2*E56</f>
        <v>574.50102128335448</v>
      </c>
      <c r="H56" s="7">
        <f>C56+4*E56</f>
        <v>676.39102128335446</v>
      </c>
      <c r="I56" s="7">
        <f>C56+6*E56</f>
        <v>778.28102128335445</v>
      </c>
      <c r="J56" s="7">
        <f>C56+8*E56</f>
        <v>880.17102128335443</v>
      </c>
    </row>
    <row r="57" spans="1:32" x14ac:dyDescent="0.25">
      <c r="A57" t="s">
        <v>170</v>
      </c>
      <c r="B57" s="2" t="s">
        <v>174</v>
      </c>
      <c r="C57" s="7">
        <f>AE52</f>
        <v>826.14096728081302</v>
      </c>
      <c r="D57">
        <v>4</v>
      </c>
      <c r="E57" s="7">
        <f>AF52</f>
        <v>78.889999999999986</v>
      </c>
      <c r="F57" s="7">
        <f>C57</f>
        <v>826.14096728081302</v>
      </c>
      <c r="G57" s="7">
        <f>C57+2*E57</f>
        <v>983.92096728081299</v>
      </c>
      <c r="H57" s="7">
        <f>C57+4*E57</f>
        <v>1141.7009672808131</v>
      </c>
      <c r="I57" s="7">
        <f>C57+6*E57</f>
        <v>1299.4809672808128</v>
      </c>
      <c r="J57" s="7">
        <f>C57+8*E57</f>
        <v>1457.260967280813</v>
      </c>
    </row>
    <row r="62" spans="1:32" x14ac:dyDescent="0.25">
      <c r="A62" t="s">
        <v>69</v>
      </c>
      <c r="B62" t="s">
        <v>18</v>
      </c>
      <c r="C62" t="s">
        <v>195</v>
      </c>
      <c r="D62" t="s">
        <v>204</v>
      </c>
      <c r="E62" t="s">
        <v>17</v>
      </c>
      <c r="F62" t="s">
        <v>203</v>
      </c>
    </row>
    <row r="63" spans="1:32" x14ac:dyDescent="0.25">
      <c r="A63" t="s">
        <v>196</v>
      </c>
      <c r="B63">
        <v>50</v>
      </c>
      <c r="C63">
        <v>8</v>
      </c>
      <c r="D63">
        <f t="shared" ref="D63:D69" si="0">B63*C63</f>
        <v>400</v>
      </c>
      <c r="E63">
        <v>1</v>
      </c>
      <c r="F63" s="17">
        <f t="shared" ref="F63:F69" si="1">D63/E63</f>
        <v>400</v>
      </c>
    </row>
    <row r="64" spans="1:32" x14ac:dyDescent="0.25">
      <c r="A64" t="s">
        <v>197</v>
      </c>
      <c r="B64">
        <v>150</v>
      </c>
      <c r="C64">
        <v>8</v>
      </c>
      <c r="D64">
        <f t="shared" si="0"/>
        <v>1200</v>
      </c>
      <c r="E64">
        <v>3.25</v>
      </c>
      <c r="F64" s="17">
        <f t="shared" si="1"/>
        <v>369.23076923076923</v>
      </c>
    </row>
    <row r="65" spans="1:6" x14ac:dyDescent="0.25">
      <c r="A65" t="s">
        <v>198</v>
      </c>
      <c r="B65">
        <v>300</v>
      </c>
      <c r="C65">
        <v>8</v>
      </c>
      <c r="D65">
        <f t="shared" si="0"/>
        <v>2400</v>
      </c>
      <c r="E65">
        <v>6.75</v>
      </c>
      <c r="F65" s="17">
        <f t="shared" si="1"/>
        <v>355.55555555555554</v>
      </c>
    </row>
    <row r="66" spans="1:6" x14ac:dyDescent="0.25">
      <c r="A66" t="s">
        <v>199</v>
      </c>
      <c r="B66">
        <v>500</v>
      </c>
      <c r="C66">
        <v>8.5</v>
      </c>
      <c r="D66">
        <f t="shared" si="0"/>
        <v>4250</v>
      </c>
      <c r="E66">
        <v>12</v>
      </c>
      <c r="F66" s="17">
        <f t="shared" si="1"/>
        <v>354.16666666666669</v>
      </c>
    </row>
    <row r="67" spans="1:6" x14ac:dyDescent="0.25">
      <c r="A67" t="s">
        <v>200</v>
      </c>
      <c r="B67">
        <v>750</v>
      </c>
      <c r="C67">
        <v>8.5</v>
      </c>
      <c r="D67">
        <f t="shared" si="0"/>
        <v>6375</v>
      </c>
      <c r="E67">
        <v>18</v>
      </c>
      <c r="F67" s="17">
        <f t="shared" si="1"/>
        <v>354.16666666666669</v>
      </c>
    </row>
    <row r="68" spans="1:6" x14ac:dyDescent="0.25">
      <c r="A68" t="s">
        <v>202</v>
      </c>
      <c r="B68">
        <v>1000</v>
      </c>
      <c r="C68">
        <v>8.5</v>
      </c>
      <c r="D68">
        <f t="shared" si="0"/>
        <v>8500</v>
      </c>
      <c r="E68">
        <v>24</v>
      </c>
      <c r="F68" s="17">
        <f t="shared" si="1"/>
        <v>354.16666666666669</v>
      </c>
    </row>
    <row r="69" spans="1:6" x14ac:dyDescent="0.25">
      <c r="A69" t="s">
        <v>201</v>
      </c>
      <c r="B69">
        <v>1250</v>
      </c>
      <c r="C69">
        <v>8.5</v>
      </c>
      <c r="D69">
        <f t="shared" si="0"/>
        <v>10625</v>
      </c>
      <c r="E69">
        <v>30</v>
      </c>
      <c r="F69" s="17">
        <f t="shared" si="1"/>
        <v>354.16666666666669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Q8" sqref="Q8"/>
    </sheetView>
  </sheetViews>
  <sheetFormatPr defaultRowHeight="15" x14ac:dyDescent="0.25"/>
  <cols>
    <col min="1" max="1" width="10.140625" bestFit="1" customWidth="1"/>
    <col min="2" max="2" width="18.5703125" bestFit="1" customWidth="1"/>
    <col min="3" max="3" width="13.5703125" bestFit="1" customWidth="1"/>
    <col min="4" max="4" width="10.42578125" bestFit="1" customWidth="1"/>
    <col min="5" max="5" width="13.85546875" customWidth="1"/>
    <col min="6" max="6" width="10" bestFit="1" customWidth="1"/>
    <col min="7" max="8" width="10.28515625" customWidth="1"/>
    <col min="9" max="9" width="12" customWidth="1"/>
    <col min="10" max="10" width="12.140625" customWidth="1"/>
    <col min="11" max="11" width="14.28515625" bestFit="1" customWidth="1"/>
    <col min="12" max="12" width="10.140625" bestFit="1" customWidth="1"/>
    <col min="13" max="13" width="9.42578125" bestFit="1" customWidth="1"/>
    <col min="15" max="15" width="14" customWidth="1"/>
    <col min="16" max="16" width="13.5703125" customWidth="1"/>
    <col min="17" max="17" width="10.140625" bestFit="1" customWidth="1"/>
  </cols>
  <sheetData>
    <row r="1" spans="1:17" s="2" customFormat="1" ht="75" x14ac:dyDescent="0.25">
      <c r="B1" s="2" t="s">
        <v>96</v>
      </c>
      <c r="C1" s="2" t="s">
        <v>18</v>
      </c>
      <c r="D1" s="2" t="s">
        <v>156</v>
      </c>
      <c r="E1" s="2" t="s">
        <v>158</v>
      </c>
      <c r="F1" s="2" t="s">
        <v>30</v>
      </c>
      <c r="G1" s="2" t="s">
        <v>161</v>
      </c>
      <c r="H1" s="2" t="s">
        <v>159</v>
      </c>
      <c r="I1" s="2" t="s">
        <v>205</v>
      </c>
      <c r="J1" s="2" t="s">
        <v>206</v>
      </c>
    </row>
    <row r="2" spans="1:17" x14ac:dyDescent="0.25">
      <c r="A2" t="s">
        <v>152</v>
      </c>
      <c r="C2">
        <v>1250</v>
      </c>
      <c r="D2" s="5">
        <v>2317</v>
      </c>
      <c r="E2" s="7">
        <f>('Bombers-1250'!C56+'Bombers-1250'!C57+'Bombers-1250'!C63)*(1+'Bombers-1250'!B67)</f>
        <v>178.25</v>
      </c>
      <c r="F2" s="7">
        <f>(1+'Bombers-1250'!B67)*1*'Bombers-1250'!F59</f>
        <v>281.75</v>
      </c>
      <c r="G2" s="7">
        <f>D2-E2-F2</f>
        <v>1857</v>
      </c>
      <c r="H2" s="7">
        <f>F2/2</f>
        <v>140.875</v>
      </c>
      <c r="I2" s="7">
        <f>G2+F2</f>
        <v>2138.75</v>
      </c>
      <c r="J2" s="7">
        <f>G2+H2</f>
        <v>1997.875</v>
      </c>
    </row>
    <row r="3" spans="1:17" x14ac:dyDescent="0.25">
      <c r="A3" t="s">
        <v>153</v>
      </c>
      <c r="C3">
        <v>1000</v>
      </c>
      <c r="D3" s="5">
        <v>2023</v>
      </c>
      <c r="E3" s="7">
        <f>E2</f>
        <v>178.25</v>
      </c>
      <c r="F3" s="7">
        <f>(1+'Bobmers 1000'!B52)*'Bobmers 1000'!F44</f>
        <v>241.49999999999997</v>
      </c>
      <c r="G3" s="7">
        <f>D3-E3-F3</f>
        <v>1603.25</v>
      </c>
      <c r="H3" s="7">
        <f>F3/2</f>
        <v>120.74999999999999</v>
      </c>
      <c r="I3" s="7">
        <f>G3+F3</f>
        <v>1844.75</v>
      </c>
      <c r="J3" s="7">
        <f>G3+H3</f>
        <v>1724</v>
      </c>
    </row>
    <row r="4" spans="1:17" x14ac:dyDescent="0.25">
      <c r="A4" t="s">
        <v>154</v>
      </c>
      <c r="C4">
        <v>750</v>
      </c>
      <c r="D4" s="5">
        <v>1457</v>
      </c>
      <c r="E4" s="7">
        <f>E3</f>
        <v>178.25</v>
      </c>
      <c r="F4" s="7">
        <f>(1+'Bomber - 750'!B52)*'Bomber - 750'!F44</f>
        <v>146.625</v>
      </c>
      <c r="G4" s="7">
        <f>D4-E4-F4</f>
        <v>1132.125</v>
      </c>
      <c r="H4" s="7">
        <f>F4/2</f>
        <v>73.3125</v>
      </c>
      <c r="I4" s="7">
        <f>G4+F4</f>
        <v>1278.75</v>
      </c>
      <c r="J4" s="7">
        <f>G4+H4</f>
        <v>1205.4375</v>
      </c>
    </row>
    <row r="5" spans="1:17" x14ac:dyDescent="0.25">
      <c r="A5" t="s">
        <v>155</v>
      </c>
      <c r="C5">
        <v>500</v>
      </c>
      <c r="D5" s="5">
        <v>1247</v>
      </c>
      <c r="E5" s="7">
        <f>E4</f>
        <v>178.25</v>
      </c>
      <c r="F5" s="7">
        <f>(1+'Bobmers - 500'!B64)*'Bobmers - 500'!F53</f>
        <v>57.499999999999993</v>
      </c>
      <c r="G5" s="7">
        <f>D5-E5-F5</f>
        <v>1011.25</v>
      </c>
      <c r="H5" s="7">
        <f>F5/2</f>
        <v>28.749999999999996</v>
      </c>
      <c r="I5" s="7">
        <f>G5+F5</f>
        <v>1068.75</v>
      </c>
      <c r="J5" s="7">
        <f>G5+H5</f>
        <v>1040</v>
      </c>
    </row>
    <row r="6" spans="1:17" x14ac:dyDescent="0.25">
      <c r="I6" s="5"/>
    </row>
    <row r="7" spans="1:17" s="2" customFormat="1" ht="75" x14ac:dyDescent="0.25">
      <c r="B7" s="2" t="s">
        <v>123</v>
      </c>
      <c r="C7" s="2" t="s">
        <v>125</v>
      </c>
      <c r="D7" s="2" t="s">
        <v>124</v>
      </c>
      <c r="E7" s="2" t="s">
        <v>134</v>
      </c>
      <c r="F7" s="2" t="s">
        <v>157</v>
      </c>
      <c r="G7" s="2" t="s">
        <v>18</v>
      </c>
      <c r="H7" s="2" t="s">
        <v>17</v>
      </c>
      <c r="I7" s="2" t="s">
        <v>161</v>
      </c>
      <c r="J7" s="2" t="s">
        <v>30</v>
      </c>
      <c r="K7" s="2" t="s">
        <v>158</v>
      </c>
      <c r="L7" s="2" t="s">
        <v>165</v>
      </c>
      <c r="M7" s="2" t="s">
        <v>162</v>
      </c>
      <c r="N7" s="2" t="s">
        <v>163</v>
      </c>
      <c r="O7" s="2" t="s">
        <v>207</v>
      </c>
      <c r="Q7" s="2" t="s">
        <v>208</v>
      </c>
    </row>
    <row r="8" spans="1:17" x14ac:dyDescent="0.25">
      <c r="A8" t="s">
        <v>114</v>
      </c>
      <c r="B8" s="13">
        <v>41799</v>
      </c>
      <c r="C8" s="13" t="s">
        <v>126</v>
      </c>
      <c r="D8" s="14">
        <v>0.8125</v>
      </c>
      <c r="E8">
        <v>15.4</v>
      </c>
      <c r="F8" s="17">
        <v>4</v>
      </c>
      <c r="G8">
        <f>C3</f>
        <v>1000</v>
      </c>
      <c r="H8">
        <v>24</v>
      </c>
      <c r="I8" s="5">
        <f>G3</f>
        <v>1603.25</v>
      </c>
      <c r="J8" s="7">
        <f>F3</f>
        <v>241.49999999999997</v>
      </c>
      <c r="K8" s="7">
        <f>E4</f>
        <v>178.25</v>
      </c>
      <c r="L8" s="7">
        <f t="shared" ref="L8:L18" si="0">I8+J8+K8</f>
        <v>2023</v>
      </c>
      <c r="M8" s="7">
        <f t="shared" ref="M8:M17" si="1">J8/2</f>
        <v>120.74999999999999</v>
      </c>
      <c r="N8" s="5">
        <f t="shared" ref="N8:N17" si="2">I8+M8</f>
        <v>1724</v>
      </c>
      <c r="O8" s="7">
        <f t="shared" ref="O8:O17" si="3">L8-K8</f>
        <v>1844.75</v>
      </c>
      <c r="P8" s="7">
        <f>I3</f>
        <v>1844.75</v>
      </c>
      <c r="Q8" s="7">
        <v>1845</v>
      </c>
    </row>
    <row r="9" spans="1:17" x14ac:dyDescent="0.25">
      <c r="A9" t="s">
        <v>113</v>
      </c>
      <c r="B9" s="13">
        <v>41816</v>
      </c>
      <c r="C9" s="13" t="s">
        <v>126</v>
      </c>
      <c r="D9" s="14">
        <v>0.8125</v>
      </c>
      <c r="E9">
        <v>15.4</v>
      </c>
      <c r="F9" s="17">
        <v>5</v>
      </c>
      <c r="G9">
        <v>1250</v>
      </c>
      <c r="H9">
        <v>30</v>
      </c>
      <c r="I9" s="5">
        <f>G2</f>
        <v>1857</v>
      </c>
      <c r="J9" s="7">
        <f>F2</f>
        <v>281.75</v>
      </c>
      <c r="K9" s="7">
        <f>E2</f>
        <v>178.25</v>
      </c>
      <c r="L9" s="7">
        <f t="shared" si="0"/>
        <v>2317</v>
      </c>
      <c r="M9" s="7">
        <f t="shared" si="1"/>
        <v>140.875</v>
      </c>
      <c r="N9" s="5">
        <f t="shared" si="2"/>
        <v>1997.875</v>
      </c>
      <c r="O9" s="7">
        <f t="shared" si="3"/>
        <v>2138.75</v>
      </c>
      <c r="P9" s="7">
        <f>I2</f>
        <v>2138.75</v>
      </c>
      <c r="Q9" s="7">
        <v>2140</v>
      </c>
    </row>
    <row r="10" spans="1:17" x14ac:dyDescent="0.25">
      <c r="A10" t="s">
        <v>122</v>
      </c>
      <c r="B10" s="13">
        <v>41823</v>
      </c>
      <c r="C10" s="13" t="s">
        <v>127</v>
      </c>
      <c r="D10" s="14">
        <v>0.8125</v>
      </c>
      <c r="E10">
        <v>18.399999999999999</v>
      </c>
      <c r="F10" s="17">
        <v>5</v>
      </c>
      <c r="G10">
        <v>1250</v>
      </c>
      <c r="H10">
        <v>30</v>
      </c>
      <c r="I10" s="5">
        <f>G2</f>
        <v>1857</v>
      </c>
      <c r="J10" s="7">
        <f>F2</f>
        <v>281.75</v>
      </c>
      <c r="K10" s="7">
        <f>E2</f>
        <v>178.25</v>
      </c>
      <c r="L10" s="7">
        <f t="shared" si="0"/>
        <v>2317</v>
      </c>
      <c r="M10" s="7">
        <f t="shared" si="1"/>
        <v>140.875</v>
      </c>
      <c r="N10" s="5">
        <f t="shared" si="2"/>
        <v>1997.875</v>
      </c>
      <c r="O10" s="7">
        <f t="shared" si="3"/>
        <v>2138.75</v>
      </c>
      <c r="P10" s="7">
        <f>I2</f>
        <v>2138.75</v>
      </c>
      <c r="Q10" s="7">
        <v>2140</v>
      </c>
    </row>
    <row r="11" spans="1:17" x14ac:dyDescent="0.25">
      <c r="A11" t="s">
        <v>115</v>
      </c>
      <c r="B11" s="13">
        <v>41837</v>
      </c>
      <c r="C11" s="13" t="s">
        <v>128</v>
      </c>
      <c r="D11" s="14">
        <v>0.8125</v>
      </c>
      <c r="E11">
        <v>18.399999999999999</v>
      </c>
      <c r="F11" s="17">
        <v>5</v>
      </c>
      <c r="G11">
        <v>1250</v>
      </c>
      <c r="H11">
        <v>30</v>
      </c>
      <c r="I11" s="5">
        <f>G2</f>
        <v>1857</v>
      </c>
      <c r="J11" s="7">
        <f>F2</f>
        <v>281.75</v>
      </c>
      <c r="K11" s="7">
        <f>E2</f>
        <v>178.25</v>
      </c>
      <c r="L11" s="7">
        <f t="shared" si="0"/>
        <v>2317</v>
      </c>
      <c r="M11" s="7">
        <f t="shared" si="1"/>
        <v>140.875</v>
      </c>
      <c r="N11" s="5">
        <f t="shared" si="2"/>
        <v>1997.875</v>
      </c>
      <c r="O11" s="7">
        <f t="shared" si="3"/>
        <v>2138.75</v>
      </c>
      <c r="P11" s="7">
        <f>I2</f>
        <v>2138.75</v>
      </c>
      <c r="Q11" s="7">
        <v>2140</v>
      </c>
    </row>
    <row r="12" spans="1:17" x14ac:dyDescent="0.25">
      <c r="A12" t="s">
        <v>121</v>
      </c>
      <c r="B12" s="13">
        <v>41858</v>
      </c>
      <c r="C12" s="13" t="s">
        <v>129</v>
      </c>
      <c r="D12" s="14">
        <v>0.8125</v>
      </c>
      <c r="E12">
        <v>18.3</v>
      </c>
      <c r="F12" s="17">
        <v>5</v>
      </c>
      <c r="G12">
        <v>1250</v>
      </c>
      <c r="H12">
        <v>30</v>
      </c>
      <c r="I12" s="5">
        <f>G2</f>
        <v>1857</v>
      </c>
      <c r="J12" s="7">
        <f>F2</f>
        <v>281.75</v>
      </c>
      <c r="K12" s="7">
        <f>E2</f>
        <v>178.25</v>
      </c>
      <c r="L12" s="7">
        <f t="shared" si="0"/>
        <v>2317</v>
      </c>
      <c r="M12" s="7">
        <f t="shared" si="1"/>
        <v>140.875</v>
      </c>
      <c r="N12" s="5">
        <f t="shared" si="2"/>
        <v>1997.875</v>
      </c>
      <c r="O12" s="7">
        <f t="shared" si="3"/>
        <v>2138.75</v>
      </c>
      <c r="P12" s="7">
        <f>I2</f>
        <v>2138.75</v>
      </c>
      <c r="Q12" s="7">
        <v>2140</v>
      </c>
    </row>
    <row r="13" spans="1:17" x14ac:dyDescent="0.25">
      <c r="A13" t="s">
        <v>116</v>
      </c>
      <c r="B13" s="13">
        <v>41873</v>
      </c>
      <c r="C13" s="13" t="s">
        <v>130</v>
      </c>
      <c r="D13" s="14">
        <v>0.8125</v>
      </c>
      <c r="E13">
        <v>18.3</v>
      </c>
      <c r="F13" s="17">
        <v>5</v>
      </c>
      <c r="G13">
        <v>1250</v>
      </c>
      <c r="H13">
        <v>30</v>
      </c>
      <c r="I13" s="5">
        <f>G2</f>
        <v>1857</v>
      </c>
      <c r="J13" s="7">
        <f>F2</f>
        <v>281.75</v>
      </c>
      <c r="K13" s="7">
        <f>E2</f>
        <v>178.25</v>
      </c>
      <c r="L13" s="7">
        <f t="shared" si="0"/>
        <v>2317</v>
      </c>
      <c r="M13" s="7">
        <f t="shared" si="1"/>
        <v>140.875</v>
      </c>
      <c r="N13" s="5">
        <f t="shared" si="2"/>
        <v>1997.875</v>
      </c>
      <c r="O13" s="7">
        <f t="shared" si="3"/>
        <v>2138.75</v>
      </c>
      <c r="P13" s="7">
        <f>I2</f>
        <v>2138.75</v>
      </c>
      <c r="Q13" s="7">
        <v>2140</v>
      </c>
    </row>
    <row r="14" spans="1:17" x14ac:dyDescent="0.25">
      <c r="A14" t="s">
        <v>117</v>
      </c>
      <c r="B14" s="13">
        <v>41889</v>
      </c>
      <c r="C14" s="13" t="s">
        <v>129</v>
      </c>
      <c r="D14" s="14">
        <v>0.625</v>
      </c>
      <c r="E14">
        <v>14.3</v>
      </c>
      <c r="F14" s="17">
        <v>5</v>
      </c>
      <c r="G14">
        <v>1250</v>
      </c>
      <c r="H14">
        <v>30</v>
      </c>
      <c r="I14" s="5">
        <f>G2</f>
        <v>1857</v>
      </c>
      <c r="J14" s="7">
        <f>F2</f>
        <v>281.75</v>
      </c>
      <c r="K14" s="7">
        <f>E2</f>
        <v>178.25</v>
      </c>
      <c r="L14" s="7">
        <f t="shared" si="0"/>
        <v>2317</v>
      </c>
      <c r="M14" s="7">
        <f t="shared" si="1"/>
        <v>140.875</v>
      </c>
      <c r="N14" s="5">
        <f t="shared" si="2"/>
        <v>1997.875</v>
      </c>
      <c r="O14" s="7">
        <f t="shared" si="3"/>
        <v>2138.75</v>
      </c>
      <c r="P14" s="7">
        <f>I2</f>
        <v>2138.75</v>
      </c>
      <c r="Q14" s="7">
        <v>2140</v>
      </c>
    </row>
    <row r="15" spans="1:17" x14ac:dyDescent="0.25">
      <c r="A15" t="s">
        <v>118</v>
      </c>
      <c r="B15" s="13">
        <v>41909</v>
      </c>
      <c r="C15" s="13" t="s">
        <v>131</v>
      </c>
      <c r="D15" s="14">
        <v>0.72916666666666663</v>
      </c>
      <c r="E15">
        <v>14.3</v>
      </c>
      <c r="F15" s="17">
        <v>4</v>
      </c>
      <c r="G15">
        <v>1000</v>
      </c>
      <c r="H15">
        <v>24</v>
      </c>
      <c r="I15" s="5">
        <f>G3</f>
        <v>1603.25</v>
      </c>
      <c r="J15" s="7">
        <f>F3</f>
        <v>241.49999999999997</v>
      </c>
      <c r="K15" s="7">
        <f>E3</f>
        <v>178.25</v>
      </c>
      <c r="L15" s="7">
        <f>I15+J15+K15</f>
        <v>2023</v>
      </c>
      <c r="M15" s="7">
        <f t="shared" si="1"/>
        <v>120.74999999999999</v>
      </c>
      <c r="N15" s="5">
        <f t="shared" si="2"/>
        <v>1724</v>
      </c>
      <c r="O15" s="7">
        <f t="shared" si="3"/>
        <v>1844.75</v>
      </c>
      <c r="P15" s="7">
        <f>I3</f>
        <v>1844.75</v>
      </c>
      <c r="Q15" s="7">
        <v>1845</v>
      </c>
    </row>
    <row r="16" spans="1:17" x14ac:dyDescent="0.25">
      <c r="A16" t="s">
        <v>119</v>
      </c>
      <c r="B16" s="13">
        <v>41930</v>
      </c>
      <c r="C16" s="13" t="s">
        <v>132</v>
      </c>
      <c r="D16" s="14">
        <v>0.75</v>
      </c>
      <c r="E16">
        <v>9</v>
      </c>
      <c r="F16" s="17">
        <v>4</v>
      </c>
      <c r="G16">
        <v>750</v>
      </c>
      <c r="H16">
        <v>18</v>
      </c>
      <c r="I16" s="5">
        <f>G4</f>
        <v>1132.125</v>
      </c>
      <c r="J16" s="7">
        <f>F3</f>
        <v>241.49999999999997</v>
      </c>
      <c r="K16" s="7">
        <f>E3</f>
        <v>178.25</v>
      </c>
      <c r="L16" s="7">
        <f>I16+J16+K16</f>
        <v>1551.875</v>
      </c>
      <c r="M16" s="7">
        <f t="shared" si="1"/>
        <v>120.74999999999999</v>
      </c>
      <c r="N16" s="5">
        <f t="shared" si="2"/>
        <v>1252.875</v>
      </c>
      <c r="O16" s="7">
        <f t="shared" si="3"/>
        <v>1373.625</v>
      </c>
      <c r="P16" s="7">
        <f>I4</f>
        <v>1278.75</v>
      </c>
      <c r="Q16" s="7">
        <v>1275</v>
      </c>
    </row>
    <row r="17" spans="1:17" x14ac:dyDescent="0.25">
      <c r="A17" t="s">
        <v>120</v>
      </c>
      <c r="B17" s="13">
        <v>41937</v>
      </c>
      <c r="C17" s="13" t="s">
        <v>133</v>
      </c>
      <c r="D17" s="14">
        <v>0.75</v>
      </c>
      <c r="E17">
        <v>9</v>
      </c>
      <c r="F17" s="17">
        <v>3</v>
      </c>
      <c r="G17">
        <v>750</v>
      </c>
      <c r="H17">
        <v>18</v>
      </c>
      <c r="I17" s="5">
        <f>G4</f>
        <v>1132.125</v>
      </c>
      <c r="J17" s="7">
        <f>F4</f>
        <v>146.625</v>
      </c>
      <c r="K17" s="7">
        <f>E4</f>
        <v>178.25</v>
      </c>
      <c r="L17" s="7">
        <f t="shared" si="0"/>
        <v>1457</v>
      </c>
      <c r="M17" s="7">
        <f t="shared" si="1"/>
        <v>73.3125</v>
      </c>
      <c r="N17" s="5">
        <f t="shared" si="2"/>
        <v>1205.4375</v>
      </c>
      <c r="O17" s="7">
        <f t="shared" si="3"/>
        <v>1278.75</v>
      </c>
      <c r="P17" s="7">
        <f>I4</f>
        <v>1278.75</v>
      </c>
      <c r="Q17" s="7">
        <v>1275</v>
      </c>
    </row>
    <row r="18" spans="1:17" x14ac:dyDescent="0.25">
      <c r="G18">
        <f>SUM(G8:G17)</f>
        <v>11000</v>
      </c>
      <c r="H18">
        <f>SUM(H8:H17)</f>
        <v>264</v>
      </c>
      <c r="I18" s="5">
        <f>SUM(I8:I17)</f>
        <v>16612.75</v>
      </c>
      <c r="J18" s="7">
        <f>SUM(J8:J17)</f>
        <v>2561.625</v>
      </c>
      <c r="K18" s="7">
        <f>SUM(K8:K17)</f>
        <v>1782.5</v>
      </c>
      <c r="L18" s="7">
        <f t="shared" si="0"/>
        <v>20956.875</v>
      </c>
      <c r="M18" s="7">
        <f>SUM(M8:M17)</f>
        <v>1280.8125</v>
      </c>
      <c r="N18" s="5">
        <f>SUM(N8:N17)</f>
        <v>17893.5625</v>
      </c>
      <c r="O18" s="7">
        <f>SUM(O8:O17)</f>
        <v>19174.375</v>
      </c>
      <c r="P18" s="7">
        <f>SUM(P8:P17)</f>
        <v>19079.5</v>
      </c>
      <c r="Q18" s="7">
        <f>SUM(Q8:Q17)</f>
        <v>19080</v>
      </c>
    </row>
  </sheetData>
  <pageMargins left="0.7" right="0.7" top="0.75" bottom="0.75" header="0.3" footer="0.3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L8" sqref="L8"/>
    </sheetView>
  </sheetViews>
  <sheetFormatPr defaultRowHeight="15" x14ac:dyDescent="0.25"/>
  <cols>
    <col min="2" max="2" width="18.5703125" bestFit="1" customWidth="1"/>
    <col min="3" max="3" width="9.85546875" customWidth="1"/>
    <col min="4" max="4" width="10.42578125" bestFit="1" customWidth="1"/>
    <col min="5" max="5" width="14" customWidth="1"/>
    <col min="6" max="6" width="10" bestFit="1" customWidth="1"/>
    <col min="8" max="8" width="10" bestFit="1" customWidth="1"/>
    <col min="9" max="9" width="14.28515625" bestFit="1" customWidth="1"/>
    <col min="10" max="10" width="10" bestFit="1" customWidth="1"/>
    <col min="11" max="11" width="16.140625" bestFit="1" customWidth="1"/>
    <col min="12" max="12" width="10.140625" bestFit="1" customWidth="1"/>
    <col min="15" max="15" width="13.85546875" customWidth="1"/>
    <col min="16" max="16" width="14.140625" customWidth="1"/>
  </cols>
  <sheetData>
    <row r="1" spans="1:16" ht="60" x14ac:dyDescent="0.25">
      <c r="A1" s="2"/>
      <c r="B1" s="2" t="s">
        <v>96</v>
      </c>
      <c r="C1" s="2" t="s">
        <v>18</v>
      </c>
      <c r="D1" s="2" t="s">
        <v>156</v>
      </c>
      <c r="E1" s="2" t="s">
        <v>158</v>
      </c>
      <c r="F1" s="2" t="s">
        <v>30</v>
      </c>
      <c r="G1" s="2" t="s">
        <v>161</v>
      </c>
      <c r="H1" s="2" t="s">
        <v>159</v>
      </c>
      <c r="I1" s="2" t="s">
        <v>205</v>
      </c>
      <c r="J1" s="2" t="s">
        <v>206</v>
      </c>
      <c r="K1" s="2"/>
      <c r="L1" s="2"/>
      <c r="M1" s="2"/>
      <c r="N1" s="2"/>
    </row>
    <row r="2" spans="1:16" x14ac:dyDescent="0.25">
      <c r="A2" t="s">
        <v>152</v>
      </c>
      <c r="C2">
        <v>1250</v>
      </c>
      <c r="D2" s="5">
        <v>2200</v>
      </c>
      <c r="E2" s="7">
        <f>('Bombers-1250'!C56+'Bombers-1250'!C57+'Bombers-1250'!C63)*(1+'Bombers-1250'!B67)</f>
        <v>178.25</v>
      </c>
      <c r="F2" s="7">
        <f>(1+'Bombers-1250'!B67)*1*'Bombers-1250'!F59</f>
        <v>281.75</v>
      </c>
      <c r="G2" s="7">
        <f>D2-E2-F2</f>
        <v>1740</v>
      </c>
      <c r="H2" s="7">
        <f>F2/2</f>
        <v>140.875</v>
      </c>
      <c r="I2" s="7">
        <f>G2+F2</f>
        <v>2021.75</v>
      </c>
      <c r="J2" s="7">
        <f>G2+H2</f>
        <v>1880.875</v>
      </c>
    </row>
    <row r="3" spans="1:16" x14ac:dyDescent="0.25">
      <c r="A3" t="s">
        <v>153</v>
      </c>
      <c r="C3">
        <v>1000</v>
      </c>
      <c r="D3" s="5">
        <v>1975</v>
      </c>
      <c r="E3" s="7">
        <f>E2</f>
        <v>178.25</v>
      </c>
      <c r="F3" s="7">
        <f>(1+'Bobmers 1000'!B52)*'Bobmers 1000'!F44</f>
        <v>241.49999999999997</v>
      </c>
      <c r="G3" s="7">
        <f>D3-E3-F3</f>
        <v>1555.25</v>
      </c>
      <c r="H3" s="7">
        <f>F3/2</f>
        <v>120.74999999999999</v>
      </c>
      <c r="I3" s="7">
        <f>G3+F3</f>
        <v>1796.75</v>
      </c>
      <c r="J3" s="7">
        <f>G3+H3</f>
        <v>1676</v>
      </c>
    </row>
    <row r="4" spans="1:16" x14ac:dyDescent="0.25">
      <c r="A4" t="s">
        <v>154</v>
      </c>
      <c r="C4">
        <v>750</v>
      </c>
      <c r="D4" s="5">
        <v>1450</v>
      </c>
      <c r="E4" s="7">
        <f>E3</f>
        <v>178.25</v>
      </c>
      <c r="F4" s="7">
        <f>(1+'Bomber - 750'!B52)*'Bomber - 750'!F44</f>
        <v>146.625</v>
      </c>
      <c r="G4" s="7">
        <f>D4-E4-F4</f>
        <v>1125.125</v>
      </c>
      <c r="H4" s="7">
        <f>F4/2</f>
        <v>73.3125</v>
      </c>
      <c r="I4" s="7">
        <f>G4+F4</f>
        <v>1271.75</v>
      </c>
      <c r="J4" s="7">
        <f>G4+H4</f>
        <v>1198.4375</v>
      </c>
    </row>
    <row r="5" spans="1:16" x14ac:dyDescent="0.25">
      <c r="A5" t="s">
        <v>155</v>
      </c>
      <c r="C5">
        <v>500</v>
      </c>
      <c r="D5" s="5">
        <v>1250</v>
      </c>
      <c r="E5" s="7">
        <f>E4</f>
        <v>178.25</v>
      </c>
      <c r="F5" s="7">
        <f>(1+'Bobmers - 500'!B64)*'Bobmers - 500'!F53</f>
        <v>57.499999999999993</v>
      </c>
      <c r="G5" s="7">
        <f>D5-E5-F5</f>
        <v>1014.25</v>
      </c>
      <c r="H5" s="7">
        <f>F5/2</f>
        <v>28.749999999999996</v>
      </c>
      <c r="I5" s="7">
        <f>G5+F5</f>
        <v>1071.75</v>
      </c>
      <c r="J5" s="7">
        <f>G5+H5</f>
        <v>1043</v>
      </c>
    </row>
    <row r="6" spans="1:16" x14ac:dyDescent="0.25">
      <c r="I6" s="5"/>
    </row>
    <row r="7" spans="1:16" ht="75" x14ac:dyDescent="0.25">
      <c r="A7" s="2"/>
      <c r="B7" s="2" t="s">
        <v>123</v>
      </c>
      <c r="C7" s="2" t="s">
        <v>125</v>
      </c>
      <c r="D7" s="2" t="s">
        <v>124</v>
      </c>
      <c r="E7" s="2" t="s">
        <v>134</v>
      </c>
      <c r="F7" s="2" t="s">
        <v>157</v>
      </c>
      <c r="G7" s="2" t="s">
        <v>18</v>
      </c>
      <c r="H7" s="2" t="s">
        <v>17</v>
      </c>
      <c r="I7" s="2" t="s">
        <v>161</v>
      </c>
      <c r="J7" s="2" t="s">
        <v>30</v>
      </c>
      <c r="K7" s="2" t="s">
        <v>158</v>
      </c>
      <c r="L7" s="2" t="s">
        <v>165</v>
      </c>
      <c r="M7" s="2" t="s">
        <v>162</v>
      </c>
      <c r="N7" s="2" t="s">
        <v>163</v>
      </c>
      <c r="O7" s="2" t="s">
        <v>207</v>
      </c>
      <c r="P7" s="2" t="s">
        <v>208</v>
      </c>
    </row>
    <row r="8" spans="1:16" x14ac:dyDescent="0.25">
      <c r="A8" t="s">
        <v>114</v>
      </c>
      <c r="B8" s="13">
        <v>41799</v>
      </c>
      <c r="C8" s="13" t="s">
        <v>126</v>
      </c>
      <c r="D8" s="14">
        <v>0.8125</v>
      </c>
      <c r="E8">
        <v>15.4</v>
      </c>
      <c r="F8" s="17">
        <v>2</v>
      </c>
      <c r="G8">
        <v>500</v>
      </c>
      <c r="H8">
        <v>12</v>
      </c>
      <c r="I8" s="5">
        <f>G5</f>
        <v>1014.25</v>
      </c>
      <c r="J8" s="7">
        <f>F5</f>
        <v>57.499999999999993</v>
      </c>
      <c r="K8" s="7">
        <f>E4</f>
        <v>178.25</v>
      </c>
      <c r="L8" s="7">
        <f t="shared" ref="L8:L18" si="0">I8+J8+K8</f>
        <v>1250</v>
      </c>
      <c r="M8" s="7">
        <f t="shared" ref="M8:M17" si="1">J8/2</f>
        <v>28.749999999999996</v>
      </c>
      <c r="N8" s="5">
        <f t="shared" ref="N8:N17" si="2">I8+M8</f>
        <v>1043</v>
      </c>
      <c r="O8" s="7">
        <f t="shared" ref="O8:O17" si="3">L8-K8</f>
        <v>1071.75</v>
      </c>
      <c r="P8" s="5">
        <v>1150</v>
      </c>
    </row>
    <row r="9" spans="1:16" x14ac:dyDescent="0.25">
      <c r="A9" t="s">
        <v>113</v>
      </c>
      <c r="B9" s="13">
        <v>41816</v>
      </c>
      <c r="C9" s="13" t="s">
        <v>126</v>
      </c>
      <c r="D9" s="14">
        <v>0.8125</v>
      </c>
      <c r="E9">
        <v>15.4</v>
      </c>
      <c r="F9" s="17">
        <v>2</v>
      </c>
      <c r="G9">
        <v>500</v>
      </c>
      <c r="H9">
        <v>12</v>
      </c>
      <c r="I9" s="5">
        <f>G5</f>
        <v>1014.25</v>
      </c>
      <c r="J9" s="7">
        <f>F5</f>
        <v>57.499999999999993</v>
      </c>
      <c r="K9" s="7">
        <f>E2</f>
        <v>178.25</v>
      </c>
      <c r="L9" s="7">
        <f t="shared" si="0"/>
        <v>1250</v>
      </c>
      <c r="M9" s="7">
        <f t="shared" si="1"/>
        <v>28.749999999999996</v>
      </c>
      <c r="N9" s="5">
        <f t="shared" si="2"/>
        <v>1043</v>
      </c>
      <c r="O9" s="7">
        <f t="shared" si="3"/>
        <v>1071.75</v>
      </c>
      <c r="P9" s="5">
        <v>1150</v>
      </c>
    </row>
    <row r="10" spans="1:16" x14ac:dyDescent="0.25">
      <c r="A10" t="s">
        <v>122</v>
      </c>
      <c r="B10" s="13">
        <v>41823</v>
      </c>
      <c r="C10" s="13" t="s">
        <v>127</v>
      </c>
      <c r="D10" s="14">
        <v>0.8125</v>
      </c>
      <c r="E10">
        <v>18.399999999999999</v>
      </c>
      <c r="F10" s="17">
        <v>2</v>
      </c>
      <c r="G10">
        <v>500</v>
      </c>
      <c r="H10">
        <v>12</v>
      </c>
      <c r="I10" s="5">
        <f>G5</f>
        <v>1014.25</v>
      </c>
      <c r="J10" s="7">
        <f>F5</f>
        <v>57.499999999999993</v>
      </c>
      <c r="K10" s="7">
        <f>E2</f>
        <v>178.25</v>
      </c>
      <c r="L10" s="7">
        <f t="shared" si="0"/>
        <v>1250</v>
      </c>
      <c r="M10" s="7">
        <f t="shared" si="1"/>
        <v>28.749999999999996</v>
      </c>
      <c r="N10" s="5">
        <f t="shared" si="2"/>
        <v>1043</v>
      </c>
      <c r="O10" s="7">
        <f t="shared" si="3"/>
        <v>1071.75</v>
      </c>
      <c r="P10" s="5">
        <v>1150</v>
      </c>
    </row>
    <row r="11" spans="1:16" x14ac:dyDescent="0.25">
      <c r="A11" t="s">
        <v>115</v>
      </c>
      <c r="B11" s="13">
        <v>41837</v>
      </c>
      <c r="C11" s="13" t="s">
        <v>128</v>
      </c>
      <c r="D11" s="14">
        <v>0.8125</v>
      </c>
      <c r="E11">
        <v>18.399999999999999</v>
      </c>
      <c r="F11" s="17">
        <v>2</v>
      </c>
      <c r="G11">
        <v>500</v>
      </c>
      <c r="H11">
        <v>12</v>
      </c>
      <c r="I11" s="5">
        <f>G5</f>
        <v>1014.25</v>
      </c>
      <c r="J11" s="7">
        <f>F5</f>
        <v>57.499999999999993</v>
      </c>
      <c r="K11" s="7">
        <f>E2</f>
        <v>178.25</v>
      </c>
      <c r="L11" s="7">
        <f t="shared" si="0"/>
        <v>1250</v>
      </c>
      <c r="M11" s="7">
        <f t="shared" si="1"/>
        <v>28.749999999999996</v>
      </c>
      <c r="N11" s="5">
        <f t="shared" si="2"/>
        <v>1043</v>
      </c>
      <c r="O11" s="7">
        <f t="shared" si="3"/>
        <v>1071.75</v>
      </c>
      <c r="P11" s="5">
        <v>1150</v>
      </c>
    </row>
    <row r="12" spans="1:16" x14ac:dyDescent="0.25">
      <c r="A12" t="s">
        <v>121</v>
      </c>
      <c r="B12" s="13">
        <v>41858</v>
      </c>
      <c r="C12" s="13" t="s">
        <v>129</v>
      </c>
      <c r="D12" s="14">
        <v>0.8125</v>
      </c>
      <c r="E12">
        <v>18.3</v>
      </c>
      <c r="F12" s="17">
        <v>2</v>
      </c>
      <c r="G12">
        <v>500</v>
      </c>
      <c r="H12">
        <v>12</v>
      </c>
      <c r="I12" s="5">
        <f>G5</f>
        <v>1014.25</v>
      </c>
      <c r="J12" s="7">
        <f>F5</f>
        <v>57.499999999999993</v>
      </c>
      <c r="K12" s="7">
        <f>E2</f>
        <v>178.25</v>
      </c>
      <c r="L12" s="7">
        <f t="shared" si="0"/>
        <v>1250</v>
      </c>
      <c r="M12" s="7">
        <f t="shared" si="1"/>
        <v>28.749999999999996</v>
      </c>
      <c r="N12" s="5">
        <f t="shared" si="2"/>
        <v>1043</v>
      </c>
      <c r="O12" s="7">
        <f t="shared" si="3"/>
        <v>1071.75</v>
      </c>
      <c r="P12" s="5">
        <v>1150</v>
      </c>
    </row>
    <row r="13" spans="1:16" x14ac:dyDescent="0.25">
      <c r="A13" t="s">
        <v>116</v>
      </c>
      <c r="B13" s="13">
        <v>41873</v>
      </c>
      <c r="C13" s="13" t="s">
        <v>130</v>
      </c>
      <c r="D13" s="14">
        <v>0.8125</v>
      </c>
      <c r="E13">
        <v>18.3</v>
      </c>
      <c r="F13" s="17">
        <v>2</v>
      </c>
      <c r="G13">
        <v>500</v>
      </c>
      <c r="H13">
        <v>12</v>
      </c>
      <c r="I13" s="5">
        <f>G5</f>
        <v>1014.25</v>
      </c>
      <c r="J13" s="7">
        <f>F5</f>
        <v>57.499999999999993</v>
      </c>
      <c r="K13" s="7">
        <f>E2</f>
        <v>178.25</v>
      </c>
      <c r="L13" s="7">
        <f t="shared" si="0"/>
        <v>1250</v>
      </c>
      <c r="M13" s="7">
        <f t="shared" si="1"/>
        <v>28.749999999999996</v>
      </c>
      <c r="N13" s="5">
        <f t="shared" si="2"/>
        <v>1043</v>
      </c>
      <c r="O13" s="7">
        <f t="shared" si="3"/>
        <v>1071.75</v>
      </c>
      <c r="P13" s="5">
        <v>1150</v>
      </c>
    </row>
    <row r="14" spans="1:16" x14ac:dyDescent="0.25">
      <c r="A14" t="s">
        <v>117</v>
      </c>
      <c r="B14" s="13">
        <v>41889</v>
      </c>
      <c r="C14" s="13" t="s">
        <v>129</v>
      </c>
      <c r="D14" s="14">
        <v>0.625</v>
      </c>
      <c r="E14">
        <v>14.3</v>
      </c>
      <c r="F14" s="17">
        <v>2</v>
      </c>
      <c r="G14">
        <v>500</v>
      </c>
      <c r="H14">
        <v>12</v>
      </c>
      <c r="I14" s="5">
        <f>G5</f>
        <v>1014.25</v>
      </c>
      <c r="J14" s="7">
        <f>F5</f>
        <v>57.499999999999993</v>
      </c>
      <c r="K14" s="7">
        <f>E2</f>
        <v>178.25</v>
      </c>
      <c r="L14" s="7">
        <f t="shared" si="0"/>
        <v>1250</v>
      </c>
      <c r="M14" s="7">
        <f t="shared" si="1"/>
        <v>28.749999999999996</v>
      </c>
      <c r="N14" s="5">
        <f t="shared" si="2"/>
        <v>1043</v>
      </c>
      <c r="O14" s="7">
        <f t="shared" si="3"/>
        <v>1071.75</v>
      </c>
      <c r="P14" s="5">
        <v>1150</v>
      </c>
    </row>
    <row r="15" spans="1:16" x14ac:dyDescent="0.25">
      <c r="A15" t="s">
        <v>118</v>
      </c>
      <c r="B15" s="13">
        <v>41909</v>
      </c>
      <c r="C15" s="13" t="s">
        <v>131</v>
      </c>
      <c r="D15" s="14">
        <v>0.72916666666666663</v>
      </c>
      <c r="E15">
        <v>14.3</v>
      </c>
      <c r="F15" s="17">
        <v>2</v>
      </c>
      <c r="G15">
        <v>500</v>
      </c>
      <c r="H15">
        <v>12</v>
      </c>
      <c r="I15" s="5">
        <f>G5</f>
        <v>1014.25</v>
      </c>
      <c r="J15" s="7">
        <f>F5</f>
        <v>57.499999999999993</v>
      </c>
      <c r="K15" s="7">
        <f>E3</f>
        <v>178.25</v>
      </c>
      <c r="L15" s="7">
        <f t="shared" si="0"/>
        <v>1250</v>
      </c>
      <c r="M15" s="7">
        <f t="shared" si="1"/>
        <v>28.749999999999996</v>
      </c>
      <c r="N15" s="5">
        <f t="shared" si="2"/>
        <v>1043</v>
      </c>
      <c r="O15" s="7">
        <f t="shared" si="3"/>
        <v>1071.75</v>
      </c>
      <c r="P15" s="5">
        <v>1150</v>
      </c>
    </row>
    <row r="16" spans="1:16" x14ac:dyDescent="0.25">
      <c r="A16" t="s">
        <v>119</v>
      </c>
      <c r="B16" s="13">
        <v>41930</v>
      </c>
      <c r="C16" s="13" t="s">
        <v>132</v>
      </c>
      <c r="D16" s="14">
        <v>0.75</v>
      </c>
      <c r="E16">
        <v>9</v>
      </c>
      <c r="F16" s="17">
        <v>2</v>
      </c>
      <c r="G16">
        <v>500</v>
      </c>
      <c r="H16">
        <v>12</v>
      </c>
      <c r="I16" s="5">
        <f>G5</f>
        <v>1014.25</v>
      </c>
      <c r="J16" s="7">
        <f>F5</f>
        <v>57.499999999999993</v>
      </c>
      <c r="K16" s="7">
        <f>E3</f>
        <v>178.25</v>
      </c>
      <c r="L16" s="7">
        <f t="shared" si="0"/>
        <v>1250</v>
      </c>
      <c r="M16" s="7">
        <f t="shared" si="1"/>
        <v>28.749999999999996</v>
      </c>
      <c r="N16" s="5">
        <f t="shared" si="2"/>
        <v>1043</v>
      </c>
      <c r="O16" s="7">
        <f t="shared" si="3"/>
        <v>1071.75</v>
      </c>
      <c r="P16" s="5">
        <v>1150</v>
      </c>
    </row>
    <row r="17" spans="1:16" x14ac:dyDescent="0.25">
      <c r="A17" t="s">
        <v>120</v>
      </c>
      <c r="B17" s="13">
        <v>41937</v>
      </c>
      <c r="C17" s="13" t="s">
        <v>133</v>
      </c>
      <c r="D17" s="14">
        <v>0.75</v>
      </c>
      <c r="E17">
        <v>9</v>
      </c>
      <c r="F17" s="17">
        <v>2</v>
      </c>
      <c r="G17">
        <v>500</v>
      </c>
      <c r="H17">
        <v>12</v>
      </c>
      <c r="I17" s="5">
        <f>G5</f>
        <v>1014.25</v>
      </c>
      <c r="J17" s="7">
        <f>F5</f>
        <v>57.499999999999993</v>
      </c>
      <c r="K17" s="7">
        <f>E4</f>
        <v>178.25</v>
      </c>
      <c r="L17" s="7">
        <f t="shared" si="0"/>
        <v>1250</v>
      </c>
      <c r="M17" s="7">
        <f t="shared" si="1"/>
        <v>28.749999999999996</v>
      </c>
      <c r="N17" s="5">
        <f t="shared" si="2"/>
        <v>1043</v>
      </c>
      <c r="O17" s="7">
        <f t="shared" si="3"/>
        <v>1071.75</v>
      </c>
      <c r="P17" s="5">
        <v>1150</v>
      </c>
    </row>
    <row r="18" spans="1:16" x14ac:dyDescent="0.25">
      <c r="F18" s="17"/>
      <c r="G18">
        <f>SUM(G8:G17)</f>
        <v>5000</v>
      </c>
      <c r="H18">
        <f>SUM(H8:H17)</f>
        <v>120</v>
      </c>
      <c r="I18" s="5">
        <f>SUM(I8:I17)</f>
        <v>10142.5</v>
      </c>
      <c r="J18" s="7">
        <f>SUM(J8:J17)</f>
        <v>574.99999999999989</v>
      </c>
      <c r="K18" s="7">
        <f>SUM(K8:K17)</f>
        <v>1782.5</v>
      </c>
      <c r="L18" s="7">
        <f t="shared" si="0"/>
        <v>12500</v>
      </c>
      <c r="M18" s="7">
        <f>SUM(M8:M17)</f>
        <v>287.49999999999994</v>
      </c>
      <c r="N18" s="5">
        <f>SUM(N8:N17)</f>
        <v>10430</v>
      </c>
      <c r="O18" s="7">
        <f>SUM(O8:O17)</f>
        <v>10717.5</v>
      </c>
      <c r="P18" s="5">
        <f>SUM(P8:P17)</f>
        <v>11500</v>
      </c>
    </row>
  </sheetData>
  <pageMargins left="0.7" right="0.7" top="0.75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8" sqref="P8:P18"/>
    </sheetView>
  </sheetViews>
  <sheetFormatPr defaultRowHeight="15" x14ac:dyDescent="0.25"/>
  <cols>
    <col min="2" max="2" width="18.5703125" bestFit="1" customWidth="1"/>
    <col min="4" max="4" width="10.42578125" bestFit="1" customWidth="1"/>
    <col min="5" max="5" width="14.28515625" bestFit="1" customWidth="1"/>
    <col min="6" max="6" width="10" bestFit="1" customWidth="1"/>
    <col min="7" max="7" width="10" customWidth="1"/>
    <col min="8" max="8" width="10" bestFit="1" customWidth="1"/>
    <col min="9" max="9" width="14.140625" customWidth="1"/>
    <col min="10" max="10" width="10" bestFit="1" customWidth="1"/>
    <col min="11" max="11" width="15.28515625" customWidth="1"/>
    <col min="12" max="12" width="10.140625" bestFit="1" customWidth="1"/>
    <col min="15" max="15" width="13" customWidth="1"/>
    <col min="16" max="16" width="14" customWidth="1"/>
  </cols>
  <sheetData>
    <row r="1" spans="1:16" ht="60" x14ac:dyDescent="0.25">
      <c r="A1" s="2"/>
      <c r="B1" s="2" t="s">
        <v>96</v>
      </c>
      <c r="C1" s="2" t="s">
        <v>18</v>
      </c>
      <c r="D1" s="2" t="s">
        <v>156</v>
      </c>
      <c r="E1" s="2" t="s">
        <v>158</v>
      </c>
      <c r="F1" s="2" t="s">
        <v>30</v>
      </c>
      <c r="G1" s="2" t="s">
        <v>161</v>
      </c>
      <c r="H1" s="2" t="s">
        <v>159</v>
      </c>
      <c r="I1" s="2" t="s">
        <v>160</v>
      </c>
      <c r="J1" s="2" t="s">
        <v>209</v>
      </c>
      <c r="K1" s="2" t="s">
        <v>206</v>
      </c>
      <c r="L1" s="2"/>
      <c r="M1" s="2"/>
      <c r="N1" s="2"/>
    </row>
    <row r="2" spans="1:16" x14ac:dyDescent="0.25">
      <c r="A2" t="s">
        <v>152</v>
      </c>
      <c r="C2">
        <v>1250</v>
      </c>
      <c r="D2" s="5">
        <v>2353</v>
      </c>
      <c r="E2" s="7">
        <f>('Bombers-1250'!C56+'Bombers-1250'!C57+'Bombers-1250'!C63)*(1+'Bombers-1250'!B67)</f>
        <v>178.25</v>
      </c>
      <c r="F2" s="7">
        <f>(1+'Bombers-1250'!B67)*1*'Bombers-1250'!F59</f>
        <v>281.75</v>
      </c>
      <c r="G2" s="7">
        <f>D2-E2-F2</f>
        <v>1893</v>
      </c>
      <c r="H2" s="7">
        <f>F2/2</f>
        <v>140.875</v>
      </c>
      <c r="I2" s="7">
        <f>D2-E2-F2</f>
        <v>1893</v>
      </c>
      <c r="J2" s="7">
        <f>G2+F2</f>
        <v>2174.75</v>
      </c>
      <c r="K2" s="7">
        <f>G2+H2</f>
        <v>2033.875</v>
      </c>
    </row>
    <row r="3" spans="1:16" x14ac:dyDescent="0.25">
      <c r="A3" t="s">
        <v>153</v>
      </c>
      <c r="C3">
        <v>1000</v>
      </c>
      <c r="D3" s="5">
        <v>2052</v>
      </c>
      <c r="E3" s="7">
        <f>E2</f>
        <v>178.25</v>
      </c>
      <c r="F3" s="7">
        <f>(1+'Bobmers 1000'!B52)*'Bobmers 1000'!F44</f>
        <v>241.49999999999997</v>
      </c>
      <c r="G3" s="7">
        <f>D3-E3-F3</f>
        <v>1632.25</v>
      </c>
      <c r="H3" s="7">
        <f>F3/2</f>
        <v>120.74999999999999</v>
      </c>
      <c r="I3" s="7">
        <f>D3-E3-F3</f>
        <v>1632.25</v>
      </c>
      <c r="J3" s="7">
        <f>G3+F3</f>
        <v>1873.75</v>
      </c>
      <c r="K3" s="7">
        <f>G3+H3</f>
        <v>1753</v>
      </c>
    </row>
    <row r="4" spans="1:16" x14ac:dyDescent="0.25">
      <c r="A4" t="s">
        <v>154</v>
      </c>
      <c r="C4">
        <v>750</v>
      </c>
      <c r="D4" s="5">
        <v>1479</v>
      </c>
      <c r="E4" s="7">
        <f>E3</f>
        <v>178.25</v>
      </c>
      <c r="F4" s="7">
        <f>(1+'Bomber - 750'!B52)*'Bomber - 750'!F44</f>
        <v>146.625</v>
      </c>
      <c r="G4" s="7">
        <f>D4-E4-F4</f>
        <v>1154.125</v>
      </c>
      <c r="H4" s="7">
        <f>F4/2</f>
        <v>73.3125</v>
      </c>
      <c r="I4" s="7">
        <f>D4-E4-F4</f>
        <v>1154.125</v>
      </c>
      <c r="J4" s="7">
        <f>G4+F4</f>
        <v>1300.75</v>
      </c>
      <c r="K4" s="7">
        <f>G4+H4</f>
        <v>1227.4375</v>
      </c>
    </row>
    <row r="5" spans="1:16" x14ac:dyDescent="0.25">
      <c r="A5" t="s">
        <v>155</v>
      </c>
      <c r="C5">
        <v>500</v>
      </c>
      <c r="D5" s="5">
        <v>1261</v>
      </c>
      <c r="E5" s="7">
        <f>E4</f>
        <v>178.25</v>
      </c>
      <c r="F5" s="7">
        <f>(1+'Bobmers - 500'!B64)*'Bobmers - 500'!F53</f>
        <v>57.499999999999993</v>
      </c>
      <c r="G5" s="7">
        <f>D5-E5-F5</f>
        <v>1025.25</v>
      </c>
      <c r="H5" s="7">
        <f>F5/2</f>
        <v>28.749999999999996</v>
      </c>
      <c r="I5" s="7">
        <f>D5-E5-F5</f>
        <v>1025.25</v>
      </c>
      <c r="J5" s="7">
        <f>G5+F5</f>
        <v>1082.75</v>
      </c>
      <c r="K5" s="7">
        <f>G5+H5</f>
        <v>1054</v>
      </c>
    </row>
    <row r="6" spans="1:16" x14ac:dyDescent="0.25">
      <c r="I6" s="5"/>
    </row>
    <row r="7" spans="1:16" ht="75" x14ac:dyDescent="0.25">
      <c r="A7" s="2"/>
      <c r="B7" s="2" t="s">
        <v>123</v>
      </c>
      <c r="C7" s="2" t="s">
        <v>125</v>
      </c>
      <c r="D7" s="2" t="s">
        <v>124</v>
      </c>
      <c r="E7" s="2" t="s">
        <v>134</v>
      </c>
      <c r="F7" s="2" t="s">
        <v>157</v>
      </c>
      <c r="G7" s="2" t="s">
        <v>18</v>
      </c>
      <c r="H7" s="2" t="s">
        <v>17</v>
      </c>
      <c r="I7" s="2" t="s">
        <v>161</v>
      </c>
      <c r="J7" s="2" t="s">
        <v>30</v>
      </c>
      <c r="K7" s="2" t="s">
        <v>158</v>
      </c>
      <c r="L7" s="2" t="s">
        <v>165</v>
      </c>
      <c r="M7" s="2" t="s">
        <v>162</v>
      </c>
      <c r="N7" s="2" t="s">
        <v>169</v>
      </c>
      <c r="O7" s="2" t="s">
        <v>207</v>
      </c>
      <c r="P7" s="2" t="s">
        <v>208</v>
      </c>
    </row>
    <row r="8" spans="1:16" x14ac:dyDescent="0.25">
      <c r="A8" t="s">
        <v>114</v>
      </c>
      <c r="B8" s="13">
        <v>41799</v>
      </c>
      <c r="C8" s="13" t="s">
        <v>126</v>
      </c>
      <c r="D8" s="14">
        <v>0.8125</v>
      </c>
      <c r="E8">
        <v>15.4</v>
      </c>
      <c r="F8" s="17">
        <v>4</v>
      </c>
      <c r="G8">
        <f>C3</f>
        <v>1000</v>
      </c>
      <c r="H8">
        <v>24</v>
      </c>
      <c r="I8" s="5">
        <f>G3</f>
        <v>1632.25</v>
      </c>
      <c r="J8" s="7">
        <f>F3</f>
        <v>241.49999999999997</v>
      </c>
      <c r="K8" s="7">
        <f>E4</f>
        <v>178.25</v>
      </c>
      <c r="L8" s="7">
        <f t="shared" ref="L8:L18" si="0">I8+J8+K8</f>
        <v>2052</v>
      </c>
      <c r="M8" s="7">
        <f t="shared" ref="M8:M17" si="1">J8/2</f>
        <v>120.74999999999999</v>
      </c>
      <c r="N8" s="5">
        <f t="shared" ref="N8:N17" si="2">I8+M8</f>
        <v>1753</v>
      </c>
      <c r="O8" s="7">
        <f>J3</f>
        <v>1873.75</v>
      </c>
      <c r="P8" s="5">
        <v>1875</v>
      </c>
    </row>
    <row r="9" spans="1:16" x14ac:dyDescent="0.25">
      <c r="A9" t="s">
        <v>113</v>
      </c>
      <c r="B9" s="13">
        <v>41816</v>
      </c>
      <c r="C9" s="13" t="s">
        <v>126</v>
      </c>
      <c r="D9" s="14">
        <v>0.8125</v>
      </c>
      <c r="E9">
        <v>15.4</v>
      </c>
      <c r="F9" s="17">
        <v>4</v>
      </c>
      <c r="G9">
        <v>1000</v>
      </c>
      <c r="H9">
        <v>24</v>
      </c>
      <c r="I9" s="5">
        <f>G3</f>
        <v>1632.25</v>
      </c>
      <c r="J9" s="7">
        <f>F3</f>
        <v>241.49999999999997</v>
      </c>
      <c r="K9" s="7">
        <f>E2</f>
        <v>178.25</v>
      </c>
      <c r="L9" s="7">
        <f t="shared" si="0"/>
        <v>2052</v>
      </c>
      <c r="M9" s="7">
        <f t="shared" si="1"/>
        <v>120.74999999999999</v>
      </c>
      <c r="N9" s="5">
        <f t="shared" si="2"/>
        <v>1753</v>
      </c>
      <c r="O9" s="7">
        <f>J3</f>
        <v>1873.75</v>
      </c>
      <c r="P9" s="5">
        <v>1875</v>
      </c>
    </row>
    <row r="10" spans="1:16" x14ac:dyDescent="0.25">
      <c r="A10" t="s">
        <v>122</v>
      </c>
      <c r="B10" s="13">
        <v>41823</v>
      </c>
      <c r="C10" s="13" t="s">
        <v>127</v>
      </c>
      <c r="D10" s="14">
        <v>0.8125</v>
      </c>
      <c r="E10">
        <v>18.399999999999999</v>
      </c>
      <c r="F10" s="17">
        <v>4</v>
      </c>
      <c r="G10">
        <v>1000</v>
      </c>
      <c r="H10">
        <v>24</v>
      </c>
      <c r="I10" s="5">
        <f>G3</f>
        <v>1632.25</v>
      </c>
      <c r="J10" s="7">
        <f>F3</f>
        <v>241.49999999999997</v>
      </c>
      <c r="K10" s="7">
        <f>E2</f>
        <v>178.25</v>
      </c>
      <c r="L10" s="7">
        <f t="shared" si="0"/>
        <v>2052</v>
      </c>
      <c r="M10" s="7">
        <f t="shared" si="1"/>
        <v>120.74999999999999</v>
      </c>
      <c r="N10" s="5">
        <f t="shared" si="2"/>
        <v>1753</v>
      </c>
      <c r="O10" s="7">
        <f>J3</f>
        <v>1873.75</v>
      </c>
      <c r="P10" s="5">
        <v>1875</v>
      </c>
    </row>
    <row r="11" spans="1:16" x14ac:dyDescent="0.25">
      <c r="A11" t="s">
        <v>115</v>
      </c>
      <c r="B11" s="13">
        <v>41837</v>
      </c>
      <c r="C11" s="13" t="s">
        <v>128</v>
      </c>
      <c r="D11" s="14">
        <v>0.8125</v>
      </c>
      <c r="E11">
        <v>18.399999999999999</v>
      </c>
      <c r="F11" s="17">
        <v>4</v>
      </c>
      <c r="G11">
        <v>1000</v>
      </c>
      <c r="H11">
        <v>24</v>
      </c>
      <c r="I11" s="5">
        <f>G3</f>
        <v>1632.25</v>
      </c>
      <c r="J11" s="7">
        <f>F3</f>
        <v>241.49999999999997</v>
      </c>
      <c r="K11" s="7">
        <f>E2</f>
        <v>178.25</v>
      </c>
      <c r="L11" s="7">
        <f t="shared" si="0"/>
        <v>2052</v>
      </c>
      <c r="M11" s="7">
        <f t="shared" si="1"/>
        <v>120.74999999999999</v>
      </c>
      <c r="N11" s="5">
        <f t="shared" si="2"/>
        <v>1753</v>
      </c>
      <c r="O11" s="7">
        <f>J3</f>
        <v>1873.75</v>
      </c>
      <c r="P11" s="5">
        <v>1875</v>
      </c>
    </row>
    <row r="12" spans="1:16" x14ac:dyDescent="0.25">
      <c r="A12" t="s">
        <v>121</v>
      </c>
      <c r="B12" s="13">
        <v>41858</v>
      </c>
      <c r="C12" s="13" t="s">
        <v>129</v>
      </c>
      <c r="D12" s="14">
        <v>0.8125</v>
      </c>
      <c r="E12">
        <v>18.3</v>
      </c>
      <c r="F12" s="17">
        <v>4</v>
      </c>
      <c r="G12">
        <v>1000</v>
      </c>
      <c r="H12">
        <v>24</v>
      </c>
      <c r="I12" s="5">
        <f>G3</f>
        <v>1632.25</v>
      </c>
      <c r="J12" s="7">
        <f>F3</f>
        <v>241.49999999999997</v>
      </c>
      <c r="K12" s="7">
        <f>E2</f>
        <v>178.25</v>
      </c>
      <c r="L12" s="7">
        <f t="shared" si="0"/>
        <v>2052</v>
      </c>
      <c r="M12" s="7">
        <f t="shared" si="1"/>
        <v>120.74999999999999</v>
      </c>
      <c r="N12" s="5">
        <f t="shared" si="2"/>
        <v>1753</v>
      </c>
      <c r="O12" s="7">
        <f>J3</f>
        <v>1873.75</v>
      </c>
      <c r="P12" s="5">
        <v>1875</v>
      </c>
    </row>
    <row r="13" spans="1:16" x14ac:dyDescent="0.25">
      <c r="A13" t="s">
        <v>116</v>
      </c>
      <c r="B13" s="13">
        <v>41873</v>
      </c>
      <c r="C13" s="13" t="s">
        <v>130</v>
      </c>
      <c r="D13" s="14">
        <v>0.8125</v>
      </c>
      <c r="E13">
        <v>18.3</v>
      </c>
      <c r="F13" s="17">
        <v>4</v>
      </c>
      <c r="G13">
        <v>1000</v>
      </c>
      <c r="H13">
        <v>24</v>
      </c>
      <c r="I13" s="5">
        <f>G3</f>
        <v>1632.25</v>
      </c>
      <c r="J13" s="7">
        <f>F3</f>
        <v>241.49999999999997</v>
      </c>
      <c r="K13" s="7">
        <f>E2</f>
        <v>178.25</v>
      </c>
      <c r="L13" s="7">
        <f t="shared" si="0"/>
        <v>2052</v>
      </c>
      <c r="M13" s="7">
        <f t="shared" si="1"/>
        <v>120.74999999999999</v>
      </c>
      <c r="N13" s="5">
        <f t="shared" si="2"/>
        <v>1753</v>
      </c>
      <c r="O13" s="7">
        <f>J3</f>
        <v>1873.75</v>
      </c>
      <c r="P13" s="5">
        <v>1875</v>
      </c>
    </row>
    <row r="14" spans="1:16" x14ac:dyDescent="0.25">
      <c r="A14" t="s">
        <v>117</v>
      </c>
      <c r="B14" s="13">
        <v>41889</v>
      </c>
      <c r="C14" s="13" t="s">
        <v>129</v>
      </c>
      <c r="D14" s="14">
        <v>0.625</v>
      </c>
      <c r="E14">
        <v>14.3</v>
      </c>
      <c r="F14" s="17">
        <v>4</v>
      </c>
      <c r="G14">
        <v>1000</v>
      </c>
      <c r="H14">
        <v>24</v>
      </c>
      <c r="I14" s="5">
        <f>G3</f>
        <v>1632.25</v>
      </c>
      <c r="J14" s="7">
        <f>F3</f>
        <v>241.49999999999997</v>
      </c>
      <c r="K14" s="7">
        <f>E2</f>
        <v>178.25</v>
      </c>
      <c r="L14" s="7">
        <f t="shared" si="0"/>
        <v>2052</v>
      </c>
      <c r="M14" s="7">
        <f t="shared" si="1"/>
        <v>120.74999999999999</v>
      </c>
      <c r="N14" s="5">
        <f t="shared" si="2"/>
        <v>1753</v>
      </c>
      <c r="O14" s="7">
        <f>J3</f>
        <v>1873.75</v>
      </c>
      <c r="P14" s="5">
        <v>1875</v>
      </c>
    </row>
    <row r="15" spans="1:16" x14ac:dyDescent="0.25">
      <c r="A15" t="s">
        <v>118</v>
      </c>
      <c r="B15" s="13">
        <v>41909</v>
      </c>
      <c r="C15" s="13" t="s">
        <v>131</v>
      </c>
      <c r="D15" s="14">
        <v>0.72916666666666663</v>
      </c>
      <c r="E15">
        <v>14.3</v>
      </c>
      <c r="F15" s="17">
        <v>3</v>
      </c>
      <c r="G15">
        <v>750</v>
      </c>
      <c r="H15">
        <v>18</v>
      </c>
      <c r="I15" s="5">
        <f>G4</f>
        <v>1154.125</v>
      </c>
      <c r="J15" s="7">
        <f>F4</f>
        <v>146.625</v>
      </c>
      <c r="K15" s="7">
        <f>E3</f>
        <v>178.25</v>
      </c>
      <c r="L15" s="7">
        <f t="shared" si="0"/>
        <v>1479</v>
      </c>
      <c r="M15" s="7">
        <f t="shared" si="1"/>
        <v>73.3125</v>
      </c>
      <c r="N15" s="5">
        <f t="shared" si="2"/>
        <v>1227.4375</v>
      </c>
      <c r="O15" s="7">
        <f>J4</f>
        <v>1300.75</v>
      </c>
      <c r="P15" s="5">
        <v>1300</v>
      </c>
    </row>
    <row r="16" spans="1:16" x14ac:dyDescent="0.25">
      <c r="A16" t="s">
        <v>119</v>
      </c>
      <c r="B16" s="13">
        <v>41930</v>
      </c>
      <c r="C16" s="13" t="s">
        <v>132</v>
      </c>
      <c r="D16" s="14">
        <v>0.75</v>
      </c>
      <c r="E16">
        <v>9</v>
      </c>
      <c r="F16" s="17">
        <v>3</v>
      </c>
      <c r="G16">
        <v>750</v>
      </c>
      <c r="H16">
        <v>18</v>
      </c>
      <c r="I16" s="5">
        <f>G4</f>
        <v>1154.125</v>
      </c>
      <c r="J16" s="7">
        <f>F4</f>
        <v>146.625</v>
      </c>
      <c r="K16" s="7">
        <f>E3</f>
        <v>178.25</v>
      </c>
      <c r="L16" s="7">
        <f t="shared" si="0"/>
        <v>1479</v>
      </c>
      <c r="M16" s="7">
        <f t="shared" si="1"/>
        <v>73.3125</v>
      </c>
      <c r="N16" s="5">
        <f t="shared" si="2"/>
        <v>1227.4375</v>
      </c>
      <c r="O16" s="7">
        <f>J4</f>
        <v>1300.75</v>
      </c>
      <c r="P16" s="5">
        <v>1300</v>
      </c>
    </row>
    <row r="17" spans="1:16" x14ac:dyDescent="0.25">
      <c r="A17" t="s">
        <v>120</v>
      </c>
      <c r="B17" s="13">
        <v>41937</v>
      </c>
      <c r="C17" s="13" t="s">
        <v>133</v>
      </c>
      <c r="D17" s="14">
        <v>0.75</v>
      </c>
      <c r="E17">
        <v>9</v>
      </c>
      <c r="F17" s="17">
        <v>3</v>
      </c>
      <c r="G17">
        <v>750</v>
      </c>
      <c r="H17">
        <v>18</v>
      </c>
      <c r="I17" s="5">
        <f>G4</f>
        <v>1154.125</v>
      </c>
      <c r="J17" s="7">
        <f>F4</f>
        <v>146.625</v>
      </c>
      <c r="K17" s="7">
        <f>E4</f>
        <v>178.25</v>
      </c>
      <c r="L17" s="7">
        <f t="shared" si="0"/>
        <v>1479</v>
      </c>
      <c r="M17" s="7">
        <f t="shared" si="1"/>
        <v>73.3125</v>
      </c>
      <c r="N17" s="5">
        <f t="shared" si="2"/>
        <v>1227.4375</v>
      </c>
      <c r="O17" s="7">
        <f>J4</f>
        <v>1300.75</v>
      </c>
      <c r="P17" s="5">
        <v>1300</v>
      </c>
    </row>
    <row r="18" spans="1:16" x14ac:dyDescent="0.25">
      <c r="G18">
        <f>SUM(G8:G17)</f>
        <v>9250</v>
      </c>
      <c r="H18">
        <f>SUM(H8:H17)</f>
        <v>222</v>
      </c>
      <c r="I18" s="5">
        <f>SUM(I8:I17)</f>
        <v>14888.125</v>
      </c>
      <c r="J18" s="7">
        <f>SUM(J8:J17)</f>
        <v>2130.375</v>
      </c>
      <c r="K18" s="7">
        <f>SUM(K8:K17)</f>
        <v>1782.5</v>
      </c>
      <c r="L18" s="7">
        <f t="shared" si="0"/>
        <v>18801</v>
      </c>
      <c r="M18" s="7">
        <f>SUM(M8:M17)</f>
        <v>1065.1875</v>
      </c>
      <c r="N18" s="5">
        <f>SUM(N8:N17)</f>
        <v>15953.3125</v>
      </c>
      <c r="O18" s="7">
        <f>SUM(O8:O17)</f>
        <v>17018.5</v>
      </c>
      <c r="P18" s="5">
        <f>SUM(P8:P17)</f>
        <v>17025</v>
      </c>
    </row>
  </sheetData>
  <pageMargins left="0.7" right="0.7" top="0.75" bottom="0.75" header="0.3" footer="0.3"/>
  <pageSetup paperSize="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D1" sqref="D1"/>
    </sheetView>
  </sheetViews>
  <sheetFormatPr defaultRowHeight="15" x14ac:dyDescent="0.25"/>
  <cols>
    <col min="2" max="2" width="18.5703125" bestFit="1" customWidth="1"/>
    <col min="4" max="4" width="10.42578125" bestFit="1" customWidth="1"/>
    <col min="5" max="5" width="14.5703125" customWidth="1"/>
    <col min="6" max="6" width="10.5703125" customWidth="1"/>
    <col min="8" max="8" width="12.5703125" customWidth="1"/>
    <col min="9" max="9" width="14.85546875" customWidth="1"/>
    <col min="10" max="10" width="11.28515625" customWidth="1"/>
    <col min="11" max="11" width="14.140625" customWidth="1"/>
    <col min="12" max="12" width="10.140625" bestFit="1" customWidth="1"/>
    <col min="15" max="15" width="15.5703125" customWidth="1"/>
    <col min="16" max="16" width="13.28515625" customWidth="1"/>
  </cols>
  <sheetData>
    <row r="1" spans="1:16" ht="60" x14ac:dyDescent="0.25">
      <c r="A1" s="2"/>
      <c r="B1" s="2" t="s">
        <v>96</v>
      </c>
      <c r="C1" s="2" t="s">
        <v>18</v>
      </c>
      <c r="D1" s="2" t="s">
        <v>156</v>
      </c>
      <c r="E1" s="2" t="s">
        <v>158</v>
      </c>
      <c r="F1" s="2" t="s">
        <v>30</v>
      </c>
      <c r="G1" s="2" t="s">
        <v>161</v>
      </c>
      <c r="H1" s="2" t="s">
        <v>159</v>
      </c>
      <c r="I1" s="2" t="s">
        <v>160</v>
      </c>
      <c r="J1" s="2" t="s">
        <v>210</v>
      </c>
      <c r="K1" s="2" t="s">
        <v>206</v>
      </c>
      <c r="L1" s="2"/>
      <c r="M1" s="2"/>
      <c r="N1" s="2"/>
    </row>
    <row r="2" spans="1:16" x14ac:dyDescent="0.25">
      <c r="A2" t="s">
        <v>152</v>
      </c>
      <c r="C2">
        <v>1250</v>
      </c>
      <c r="D2" s="5">
        <v>2420</v>
      </c>
      <c r="E2" s="7">
        <f>('Bombers-1250'!C56+'Bombers-1250'!C57+'Bombers-1250'!C63)*(1+'Bombers-1250'!B67)</f>
        <v>178.25</v>
      </c>
      <c r="F2" s="7">
        <f>(1+'Bombers-1250'!B67)*1*'Bombers-1250'!F59</f>
        <v>281.75</v>
      </c>
      <c r="G2" s="7">
        <f>D2-E2-F2</f>
        <v>1960</v>
      </c>
      <c r="H2" s="7">
        <f>F2/2</f>
        <v>140.875</v>
      </c>
      <c r="I2" s="7">
        <f>D2-E2-F2</f>
        <v>1960</v>
      </c>
      <c r="J2" s="7">
        <f>G2+F2</f>
        <v>2241.75</v>
      </c>
      <c r="K2" s="7">
        <f>G2+H2</f>
        <v>2100.875</v>
      </c>
    </row>
    <row r="3" spans="1:16" x14ac:dyDescent="0.25">
      <c r="A3" t="s">
        <v>153</v>
      </c>
      <c r="C3">
        <v>1000</v>
      </c>
      <c r="D3" s="5">
        <v>2105</v>
      </c>
      <c r="E3" s="7">
        <f>E2</f>
        <v>178.25</v>
      </c>
      <c r="F3" s="7">
        <f>(1+'Bobmers 1000'!B52)*'Bobmers 1000'!F44</f>
        <v>241.49999999999997</v>
      </c>
      <c r="G3" s="7">
        <f>D3-E3-F3</f>
        <v>1685.25</v>
      </c>
      <c r="H3" s="7">
        <f>F3/2</f>
        <v>120.74999999999999</v>
      </c>
      <c r="I3" s="7">
        <f>D3-E3-F3</f>
        <v>1685.25</v>
      </c>
      <c r="J3" s="7">
        <f>G3+F3</f>
        <v>1926.75</v>
      </c>
      <c r="K3" s="7">
        <f>G3+H3</f>
        <v>1806</v>
      </c>
    </row>
    <row r="4" spans="1:16" x14ac:dyDescent="0.25">
      <c r="A4" t="s">
        <v>154</v>
      </c>
      <c r="C4">
        <v>750</v>
      </c>
      <c r="D4" s="5">
        <v>1519</v>
      </c>
      <c r="E4" s="7">
        <f>E3</f>
        <v>178.25</v>
      </c>
      <c r="F4" s="7">
        <f>(1+'Bomber - 750'!B52)*'Bomber - 750'!F44</f>
        <v>146.625</v>
      </c>
      <c r="G4" s="7">
        <f>D4-E4-F4</f>
        <v>1194.125</v>
      </c>
      <c r="H4" s="7">
        <f>F4/2</f>
        <v>73.3125</v>
      </c>
      <c r="I4" s="7">
        <f>D4-E4-F4</f>
        <v>1194.125</v>
      </c>
      <c r="J4" s="7">
        <f>G4+F4</f>
        <v>1340.75</v>
      </c>
      <c r="K4" s="7">
        <f>G4+H4</f>
        <v>1267.4375</v>
      </c>
    </row>
    <row r="5" spans="1:16" x14ac:dyDescent="0.25">
      <c r="A5" t="s">
        <v>155</v>
      </c>
      <c r="C5">
        <v>500</v>
      </c>
      <c r="D5" s="5">
        <v>1288</v>
      </c>
      <c r="E5" s="7">
        <f>E4</f>
        <v>178.25</v>
      </c>
      <c r="F5" s="7">
        <f>(1+'Bobmers - 500'!B64)*'Bobmers - 500'!F53</f>
        <v>57.499999999999993</v>
      </c>
      <c r="G5" s="7">
        <f>D5-E5-F5</f>
        <v>1052.25</v>
      </c>
      <c r="H5" s="7">
        <f>F5/2</f>
        <v>28.749999999999996</v>
      </c>
      <c r="I5" s="7">
        <f>D5-E5-F5</f>
        <v>1052.25</v>
      </c>
      <c r="J5" s="7">
        <f>G5+F5</f>
        <v>1109.75</v>
      </c>
      <c r="K5" s="7">
        <f>G5+H5</f>
        <v>1081</v>
      </c>
    </row>
    <row r="6" spans="1:16" x14ac:dyDescent="0.25">
      <c r="I6" s="5"/>
    </row>
    <row r="7" spans="1:16" ht="75" x14ac:dyDescent="0.25">
      <c r="A7" s="2"/>
      <c r="B7" s="2" t="s">
        <v>123</v>
      </c>
      <c r="C7" s="2" t="s">
        <v>125</v>
      </c>
      <c r="D7" s="2" t="s">
        <v>124</v>
      </c>
      <c r="E7" s="2" t="s">
        <v>134</v>
      </c>
      <c r="F7" s="2" t="s">
        <v>157</v>
      </c>
      <c r="G7" s="2" t="s">
        <v>18</v>
      </c>
      <c r="H7" s="2" t="s">
        <v>17</v>
      </c>
      <c r="I7" s="2" t="s">
        <v>161</v>
      </c>
      <c r="J7" s="2" t="s">
        <v>30</v>
      </c>
      <c r="K7" s="2" t="s">
        <v>158</v>
      </c>
      <c r="L7" s="2" t="s">
        <v>165</v>
      </c>
      <c r="M7" s="2" t="s">
        <v>162</v>
      </c>
      <c r="N7" s="2" t="s">
        <v>169</v>
      </c>
      <c r="O7" s="2" t="s">
        <v>207</v>
      </c>
      <c r="P7" s="2" t="s">
        <v>208</v>
      </c>
    </row>
    <row r="8" spans="1:16" x14ac:dyDescent="0.25">
      <c r="A8" t="s">
        <v>114</v>
      </c>
      <c r="B8" s="13">
        <v>41799</v>
      </c>
      <c r="C8" s="13" t="s">
        <v>126</v>
      </c>
      <c r="D8" s="14">
        <v>0.8125</v>
      </c>
      <c r="E8">
        <v>15.4</v>
      </c>
      <c r="F8" s="17">
        <v>3</v>
      </c>
      <c r="G8">
        <v>750</v>
      </c>
      <c r="H8">
        <v>18</v>
      </c>
      <c r="I8" s="5">
        <f>G4</f>
        <v>1194.125</v>
      </c>
      <c r="J8" s="7">
        <f>F4</f>
        <v>146.625</v>
      </c>
      <c r="K8" s="7">
        <f>E4</f>
        <v>178.25</v>
      </c>
      <c r="L8" s="7">
        <f t="shared" ref="L8:L18" si="0">I8+J8+K8</f>
        <v>1519</v>
      </c>
      <c r="M8" s="7">
        <f t="shared" ref="M8:M17" si="1">J8/2</f>
        <v>73.3125</v>
      </c>
      <c r="N8" s="5">
        <f t="shared" ref="N8:N17" si="2">I8+M8</f>
        <v>1267.4375</v>
      </c>
      <c r="O8" s="7">
        <f>J4</f>
        <v>1340.75</v>
      </c>
      <c r="P8" s="5">
        <v>1350</v>
      </c>
    </row>
    <row r="9" spans="1:16" x14ac:dyDescent="0.25">
      <c r="A9" t="s">
        <v>113</v>
      </c>
      <c r="B9" s="13">
        <v>41816</v>
      </c>
      <c r="C9" s="13" t="s">
        <v>126</v>
      </c>
      <c r="D9" s="14">
        <v>0.8125</v>
      </c>
      <c r="E9">
        <v>15.4</v>
      </c>
      <c r="F9" s="17">
        <v>3</v>
      </c>
      <c r="G9">
        <v>750</v>
      </c>
      <c r="H9">
        <v>18</v>
      </c>
      <c r="I9" s="5">
        <f>G4</f>
        <v>1194.125</v>
      </c>
      <c r="J9" s="7">
        <f>F4</f>
        <v>146.625</v>
      </c>
      <c r="K9" s="7">
        <f>E2</f>
        <v>178.25</v>
      </c>
      <c r="L9" s="7">
        <f t="shared" si="0"/>
        <v>1519</v>
      </c>
      <c r="M9" s="7">
        <f t="shared" si="1"/>
        <v>73.3125</v>
      </c>
      <c r="N9" s="5">
        <f t="shared" si="2"/>
        <v>1267.4375</v>
      </c>
      <c r="O9" s="7">
        <f>J4</f>
        <v>1340.75</v>
      </c>
      <c r="P9" s="5">
        <v>1350</v>
      </c>
    </row>
    <row r="10" spans="1:16" x14ac:dyDescent="0.25">
      <c r="A10" t="s">
        <v>122</v>
      </c>
      <c r="B10" s="13">
        <v>41823</v>
      </c>
      <c r="C10" s="13" t="s">
        <v>127</v>
      </c>
      <c r="D10" s="14">
        <v>0.8125</v>
      </c>
      <c r="E10">
        <v>18.399999999999999</v>
      </c>
      <c r="F10" s="17">
        <v>3</v>
      </c>
      <c r="G10">
        <v>750</v>
      </c>
      <c r="H10">
        <v>18</v>
      </c>
      <c r="I10" s="5">
        <f>G4</f>
        <v>1194.125</v>
      </c>
      <c r="J10" s="7">
        <f>F4</f>
        <v>146.625</v>
      </c>
      <c r="K10" s="7">
        <f>E2</f>
        <v>178.25</v>
      </c>
      <c r="L10" s="7">
        <f t="shared" si="0"/>
        <v>1519</v>
      </c>
      <c r="M10" s="7">
        <f t="shared" si="1"/>
        <v>73.3125</v>
      </c>
      <c r="N10" s="5">
        <f t="shared" si="2"/>
        <v>1267.4375</v>
      </c>
      <c r="O10" s="7">
        <f>J4</f>
        <v>1340.75</v>
      </c>
      <c r="P10" s="5">
        <v>1350</v>
      </c>
    </row>
    <row r="11" spans="1:16" x14ac:dyDescent="0.25">
      <c r="A11" t="s">
        <v>115</v>
      </c>
      <c r="B11" s="13">
        <v>41837</v>
      </c>
      <c r="C11" s="13" t="s">
        <v>128</v>
      </c>
      <c r="D11" s="14">
        <v>0.8125</v>
      </c>
      <c r="E11">
        <v>18.399999999999999</v>
      </c>
      <c r="F11" s="17">
        <v>3</v>
      </c>
      <c r="G11">
        <v>750</v>
      </c>
      <c r="H11">
        <v>18</v>
      </c>
      <c r="I11" s="5">
        <f>G4</f>
        <v>1194.125</v>
      </c>
      <c r="J11" s="7">
        <f>F4</f>
        <v>146.625</v>
      </c>
      <c r="K11" s="7">
        <f>E2</f>
        <v>178.25</v>
      </c>
      <c r="L11" s="7">
        <f t="shared" si="0"/>
        <v>1519</v>
      </c>
      <c r="M11" s="7">
        <f t="shared" si="1"/>
        <v>73.3125</v>
      </c>
      <c r="N11" s="5">
        <f t="shared" si="2"/>
        <v>1267.4375</v>
      </c>
      <c r="O11" s="7">
        <f>J4</f>
        <v>1340.75</v>
      </c>
      <c r="P11" s="5">
        <v>1350</v>
      </c>
    </row>
    <row r="12" spans="1:16" x14ac:dyDescent="0.25">
      <c r="A12" t="s">
        <v>121</v>
      </c>
      <c r="B12" s="13">
        <v>41858</v>
      </c>
      <c r="C12" s="13" t="s">
        <v>129</v>
      </c>
      <c r="D12" s="14">
        <v>0.8125</v>
      </c>
      <c r="E12">
        <v>18.3</v>
      </c>
      <c r="F12" s="17">
        <v>3</v>
      </c>
      <c r="G12">
        <v>750</v>
      </c>
      <c r="H12">
        <v>18</v>
      </c>
      <c r="I12" s="5">
        <f>G4</f>
        <v>1194.125</v>
      </c>
      <c r="J12" s="7">
        <f>F4</f>
        <v>146.625</v>
      </c>
      <c r="K12" s="7">
        <f>E2</f>
        <v>178.25</v>
      </c>
      <c r="L12" s="7">
        <f t="shared" si="0"/>
        <v>1519</v>
      </c>
      <c r="M12" s="7">
        <f t="shared" si="1"/>
        <v>73.3125</v>
      </c>
      <c r="N12" s="5">
        <f t="shared" si="2"/>
        <v>1267.4375</v>
      </c>
      <c r="O12" s="7">
        <f>J4</f>
        <v>1340.75</v>
      </c>
      <c r="P12" s="5">
        <v>1350</v>
      </c>
    </row>
    <row r="13" spans="1:16" x14ac:dyDescent="0.25">
      <c r="A13" t="s">
        <v>116</v>
      </c>
      <c r="B13" s="13">
        <v>41873</v>
      </c>
      <c r="C13" s="13" t="s">
        <v>130</v>
      </c>
      <c r="D13" s="14">
        <v>0.8125</v>
      </c>
      <c r="E13">
        <v>18.3</v>
      </c>
      <c r="F13" s="17">
        <v>3</v>
      </c>
      <c r="G13">
        <v>750</v>
      </c>
      <c r="H13">
        <v>18</v>
      </c>
      <c r="I13" s="5">
        <f>G4</f>
        <v>1194.125</v>
      </c>
      <c r="J13" s="7">
        <f>F4</f>
        <v>146.625</v>
      </c>
      <c r="K13" s="7">
        <f>E2</f>
        <v>178.25</v>
      </c>
      <c r="L13" s="7">
        <f t="shared" si="0"/>
        <v>1519</v>
      </c>
      <c r="M13" s="7">
        <f t="shared" si="1"/>
        <v>73.3125</v>
      </c>
      <c r="N13" s="5">
        <f t="shared" si="2"/>
        <v>1267.4375</v>
      </c>
      <c r="O13" s="7">
        <f>J4</f>
        <v>1340.75</v>
      </c>
      <c r="P13" s="5">
        <v>1350</v>
      </c>
    </row>
    <row r="14" spans="1:16" x14ac:dyDescent="0.25">
      <c r="A14" t="s">
        <v>117</v>
      </c>
      <c r="B14" s="13">
        <v>41889</v>
      </c>
      <c r="C14" s="13" t="s">
        <v>129</v>
      </c>
      <c r="D14" s="14">
        <v>0.625</v>
      </c>
      <c r="E14">
        <v>14.3</v>
      </c>
      <c r="F14" s="17">
        <v>3</v>
      </c>
      <c r="G14">
        <v>750</v>
      </c>
      <c r="H14">
        <v>18</v>
      </c>
      <c r="I14" s="5">
        <f>G4</f>
        <v>1194.125</v>
      </c>
      <c r="J14" s="7">
        <f>F4</f>
        <v>146.625</v>
      </c>
      <c r="K14" s="7">
        <f>E2</f>
        <v>178.25</v>
      </c>
      <c r="L14" s="7">
        <f t="shared" si="0"/>
        <v>1519</v>
      </c>
      <c r="M14" s="7">
        <f t="shared" si="1"/>
        <v>73.3125</v>
      </c>
      <c r="N14" s="5">
        <f t="shared" si="2"/>
        <v>1267.4375</v>
      </c>
      <c r="O14" s="7">
        <f>J4</f>
        <v>1340.75</v>
      </c>
      <c r="P14" s="5">
        <v>1350</v>
      </c>
    </row>
    <row r="15" spans="1:16" x14ac:dyDescent="0.25">
      <c r="A15" t="s">
        <v>118</v>
      </c>
      <c r="B15" s="13">
        <v>41909</v>
      </c>
      <c r="C15" s="13" t="s">
        <v>131</v>
      </c>
      <c r="D15" s="14">
        <v>0.72916666666666663</v>
      </c>
      <c r="E15">
        <v>14.3</v>
      </c>
      <c r="F15" s="17">
        <v>3</v>
      </c>
      <c r="G15">
        <v>750</v>
      </c>
      <c r="H15">
        <v>18</v>
      </c>
      <c r="I15" s="5">
        <f>G4</f>
        <v>1194.125</v>
      </c>
      <c r="J15" s="7">
        <f>F4</f>
        <v>146.625</v>
      </c>
      <c r="K15" s="7">
        <f>E3</f>
        <v>178.25</v>
      </c>
      <c r="L15" s="7">
        <f t="shared" si="0"/>
        <v>1519</v>
      </c>
      <c r="M15" s="7">
        <f t="shared" si="1"/>
        <v>73.3125</v>
      </c>
      <c r="N15" s="5">
        <f t="shared" si="2"/>
        <v>1267.4375</v>
      </c>
      <c r="O15" s="7">
        <f>J4</f>
        <v>1340.75</v>
      </c>
      <c r="P15" s="5">
        <v>1350</v>
      </c>
    </row>
    <row r="16" spans="1:16" x14ac:dyDescent="0.25">
      <c r="A16" t="s">
        <v>119</v>
      </c>
      <c r="B16" s="13">
        <v>41930</v>
      </c>
      <c r="C16" s="13" t="s">
        <v>132</v>
      </c>
      <c r="D16" s="14">
        <v>0.75</v>
      </c>
      <c r="E16">
        <v>9</v>
      </c>
      <c r="F16" s="17">
        <v>3</v>
      </c>
      <c r="G16">
        <v>750</v>
      </c>
      <c r="H16">
        <v>18</v>
      </c>
      <c r="I16" s="5">
        <f>G4</f>
        <v>1194.125</v>
      </c>
      <c r="J16" s="7">
        <f>F4</f>
        <v>146.625</v>
      </c>
      <c r="K16" s="7">
        <f>E3</f>
        <v>178.25</v>
      </c>
      <c r="L16" s="7">
        <f t="shared" si="0"/>
        <v>1519</v>
      </c>
      <c r="M16" s="7">
        <f t="shared" si="1"/>
        <v>73.3125</v>
      </c>
      <c r="N16" s="5">
        <f t="shared" si="2"/>
        <v>1267.4375</v>
      </c>
      <c r="O16" s="7">
        <f>J4</f>
        <v>1340.75</v>
      </c>
      <c r="P16" s="5">
        <v>1350</v>
      </c>
    </row>
    <row r="17" spans="1:16" x14ac:dyDescent="0.25">
      <c r="A17" t="s">
        <v>120</v>
      </c>
      <c r="B17" s="13">
        <v>41937</v>
      </c>
      <c r="C17" s="13" t="s">
        <v>133</v>
      </c>
      <c r="D17" s="14">
        <v>0.75</v>
      </c>
      <c r="E17">
        <v>9</v>
      </c>
      <c r="F17" s="17">
        <v>2</v>
      </c>
      <c r="G17">
        <v>500</v>
      </c>
      <c r="H17">
        <v>12</v>
      </c>
      <c r="I17" s="5">
        <f>G5</f>
        <v>1052.25</v>
      </c>
      <c r="J17" s="7">
        <f>F5</f>
        <v>57.499999999999993</v>
      </c>
      <c r="K17" s="7">
        <f>E4</f>
        <v>178.25</v>
      </c>
      <c r="L17" s="7">
        <f t="shared" si="0"/>
        <v>1288</v>
      </c>
      <c r="M17" s="7">
        <f t="shared" si="1"/>
        <v>28.749999999999996</v>
      </c>
      <c r="N17" s="5">
        <f t="shared" si="2"/>
        <v>1081</v>
      </c>
      <c r="O17" s="7">
        <f>J5</f>
        <v>1109.75</v>
      </c>
      <c r="P17" s="5">
        <v>1100</v>
      </c>
    </row>
    <row r="18" spans="1:16" x14ac:dyDescent="0.25">
      <c r="G18">
        <f>SUM(G8:G17)</f>
        <v>7250</v>
      </c>
      <c r="H18">
        <f>SUM(H8:H17)</f>
        <v>174</v>
      </c>
      <c r="I18" s="5">
        <f>SUM(I8:I17)</f>
        <v>11799.375</v>
      </c>
      <c r="J18" s="7">
        <f>SUM(J8:J17)</f>
        <v>1377.125</v>
      </c>
      <c r="K18" s="7">
        <f>SUM(K8:K17)</f>
        <v>1782.5</v>
      </c>
      <c r="L18" s="7">
        <f t="shared" si="0"/>
        <v>14959</v>
      </c>
      <c r="M18" s="7">
        <f>SUM(M8:M17)</f>
        <v>688.5625</v>
      </c>
      <c r="N18" s="5">
        <f>SUM(N8:N17)</f>
        <v>12487.9375</v>
      </c>
      <c r="O18" s="7">
        <f>SUM(O8:O17)</f>
        <v>13176.5</v>
      </c>
      <c r="P18" s="5">
        <f>SUM(P8:P17)</f>
        <v>13250</v>
      </c>
    </row>
  </sheetData>
  <pageMargins left="0.7" right="0.7" top="0.75" bottom="0.75" header="0.3" footer="0.3"/>
  <pageSetup paperSize="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"/>
  <sheetViews>
    <sheetView topLeftCell="A7" workbookViewId="0">
      <selection activeCell="A14" sqref="A14"/>
    </sheetView>
  </sheetViews>
  <sheetFormatPr defaultRowHeight="15" x14ac:dyDescent="0.25"/>
  <cols>
    <col min="1" max="1" width="31" bestFit="1" customWidth="1"/>
    <col min="2" max="2" width="16.42578125" customWidth="1"/>
    <col min="3" max="3" width="12.28515625" customWidth="1"/>
    <col min="4" max="4" width="10.85546875" bestFit="1" customWidth="1"/>
    <col min="6" max="6" width="15.85546875" bestFit="1" customWidth="1"/>
    <col min="7" max="7" width="11.85546875" customWidth="1"/>
    <col min="8" max="8" width="11.140625" customWidth="1"/>
  </cols>
  <sheetData>
    <row r="2" spans="1:9" x14ac:dyDescent="0.25">
      <c r="A2" t="s">
        <v>68</v>
      </c>
      <c r="C2">
        <v>1.5</v>
      </c>
    </row>
    <row r="3" spans="1:9" x14ac:dyDescent="0.25">
      <c r="A3" t="s">
        <v>69</v>
      </c>
      <c r="C3">
        <v>1</v>
      </c>
    </row>
    <row r="4" spans="1:9" x14ac:dyDescent="0.25">
      <c r="A4" t="s">
        <v>70</v>
      </c>
      <c r="C4">
        <v>7</v>
      </c>
    </row>
    <row r="5" spans="1:9" x14ac:dyDescent="0.25">
      <c r="A5" t="s">
        <v>71</v>
      </c>
      <c r="C5">
        <v>1</v>
      </c>
    </row>
    <row r="6" spans="1:9" x14ac:dyDescent="0.25">
      <c r="A6" t="s">
        <v>72</v>
      </c>
      <c r="C6">
        <v>1.5</v>
      </c>
    </row>
    <row r="8" spans="1:9" ht="45" x14ac:dyDescent="0.25">
      <c r="B8" s="2" t="s">
        <v>69</v>
      </c>
      <c r="C8" s="2" t="s">
        <v>88</v>
      </c>
      <c r="D8" s="2" t="s">
        <v>236</v>
      </c>
      <c r="E8" s="2" t="s">
        <v>90</v>
      </c>
      <c r="F8" s="2" t="s">
        <v>238</v>
      </c>
      <c r="G8" s="2" t="s">
        <v>92</v>
      </c>
      <c r="H8" s="2" t="s">
        <v>138</v>
      </c>
      <c r="I8" s="2" t="s">
        <v>141</v>
      </c>
    </row>
    <row r="9" spans="1:9" x14ac:dyDescent="0.25">
      <c r="A9" s="18" t="s">
        <v>259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f t="shared" ref="G9:G21" si="0">SUM(B9:F9)</f>
        <v>0</v>
      </c>
      <c r="H9" s="25">
        <f>G9</f>
        <v>0</v>
      </c>
      <c r="I9" s="17">
        <v>0</v>
      </c>
    </row>
    <row r="10" spans="1:9" x14ac:dyDescent="0.25">
      <c r="A10" s="18" t="s">
        <v>258</v>
      </c>
      <c r="B10" s="24">
        <v>6</v>
      </c>
      <c r="C10" s="24">
        <v>0</v>
      </c>
      <c r="D10" s="24">
        <v>0</v>
      </c>
      <c r="E10" s="24">
        <v>0</v>
      </c>
      <c r="F10" s="24">
        <v>0</v>
      </c>
      <c r="G10" s="24">
        <f t="shared" si="0"/>
        <v>6</v>
      </c>
      <c r="H10" s="25">
        <v>0</v>
      </c>
      <c r="I10" s="17">
        <v>0</v>
      </c>
    </row>
    <row r="11" spans="1:9" x14ac:dyDescent="0.25">
      <c r="A11" s="18" t="s">
        <v>228</v>
      </c>
      <c r="B11" s="24">
        <v>6</v>
      </c>
      <c r="C11" s="24">
        <v>0</v>
      </c>
      <c r="D11" s="24">
        <v>0</v>
      </c>
      <c r="E11" s="24">
        <v>0</v>
      </c>
      <c r="F11" s="24">
        <v>0</v>
      </c>
      <c r="G11" s="24">
        <f t="shared" si="0"/>
        <v>6</v>
      </c>
      <c r="H11" s="25">
        <f>G11/2</f>
        <v>3</v>
      </c>
      <c r="I11" s="17">
        <v>0</v>
      </c>
    </row>
    <row r="12" spans="1:9" x14ac:dyDescent="0.25">
      <c r="A12" s="18" t="s">
        <v>229</v>
      </c>
      <c r="B12" s="24">
        <v>0</v>
      </c>
      <c r="C12" s="24">
        <v>6</v>
      </c>
      <c r="D12" s="24">
        <v>0</v>
      </c>
      <c r="E12" s="24">
        <v>0</v>
      </c>
      <c r="F12" s="24">
        <v>0</v>
      </c>
      <c r="G12" s="24">
        <f t="shared" si="0"/>
        <v>6</v>
      </c>
      <c r="H12" s="25">
        <f t="shared" ref="H12:H18" si="1">G12</f>
        <v>6</v>
      </c>
      <c r="I12" s="17">
        <v>2</v>
      </c>
    </row>
    <row r="13" spans="1:9" x14ac:dyDescent="0.25">
      <c r="A13" s="18" t="s">
        <v>262</v>
      </c>
      <c r="B13" s="24">
        <v>0</v>
      </c>
      <c r="C13" s="24">
        <v>6</v>
      </c>
      <c r="D13" s="24">
        <v>0</v>
      </c>
      <c r="E13" s="24">
        <v>0</v>
      </c>
      <c r="F13" s="24">
        <v>0</v>
      </c>
      <c r="G13" s="24">
        <f t="shared" si="0"/>
        <v>6</v>
      </c>
      <c r="H13" s="25">
        <f t="shared" si="1"/>
        <v>6</v>
      </c>
      <c r="I13" s="17">
        <v>3</v>
      </c>
    </row>
    <row r="14" spans="1:9" x14ac:dyDescent="0.25">
      <c r="A14" s="18" t="s">
        <v>230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  <c r="H14" s="25">
        <f t="shared" si="1"/>
        <v>0</v>
      </c>
      <c r="I14" s="17">
        <v>3</v>
      </c>
    </row>
    <row r="15" spans="1:9" x14ac:dyDescent="0.25">
      <c r="A15" s="18" t="s">
        <v>231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0"/>
        <v>0</v>
      </c>
      <c r="H15" s="25">
        <f t="shared" si="1"/>
        <v>0</v>
      </c>
      <c r="I15" s="17">
        <v>3</v>
      </c>
    </row>
    <row r="16" spans="1:9" x14ac:dyDescent="0.25">
      <c r="A16" s="18" t="s">
        <v>232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0"/>
        <v>0</v>
      </c>
      <c r="H16" s="25">
        <f t="shared" si="1"/>
        <v>0</v>
      </c>
      <c r="I16" s="17">
        <v>2</v>
      </c>
    </row>
    <row r="17" spans="1:9" x14ac:dyDescent="0.25">
      <c r="A17" s="18" t="s">
        <v>260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0"/>
        <v>0</v>
      </c>
      <c r="H17" s="25">
        <v>0</v>
      </c>
      <c r="I17" s="17">
        <v>2</v>
      </c>
    </row>
    <row r="18" spans="1:9" x14ac:dyDescent="0.25">
      <c r="A18" s="18" t="s">
        <v>261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0"/>
        <v>0</v>
      </c>
      <c r="H18" s="25">
        <f t="shared" si="1"/>
        <v>0</v>
      </c>
      <c r="I18" s="17">
        <v>5</v>
      </c>
    </row>
    <row r="19" spans="1:9" x14ac:dyDescent="0.25">
      <c r="A19" s="18" t="s">
        <v>237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0"/>
        <v>0</v>
      </c>
      <c r="H19" s="25">
        <f>G19/2</f>
        <v>0</v>
      </c>
      <c r="I19" s="17">
        <v>5</v>
      </c>
    </row>
    <row r="20" spans="1:9" x14ac:dyDescent="0.25">
      <c r="A20" s="18" t="s">
        <v>237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0"/>
        <v>0</v>
      </c>
      <c r="H20" s="25">
        <f>G20/2</f>
        <v>0</v>
      </c>
      <c r="I20" s="17">
        <v>0</v>
      </c>
    </row>
    <row r="21" spans="1:9" x14ac:dyDescent="0.25">
      <c r="A21" s="18" t="s">
        <v>239</v>
      </c>
      <c r="B21" s="24">
        <v>0</v>
      </c>
      <c r="C21" s="24">
        <v>0</v>
      </c>
      <c r="D21" s="24">
        <v>0</v>
      </c>
      <c r="E21" s="24">
        <v>0</v>
      </c>
      <c r="F21" s="16" t="s">
        <v>91</v>
      </c>
      <c r="G21" s="24">
        <f t="shared" si="0"/>
        <v>0</v>
      </c>
      <c r="H21" s="25">
        <f>G21</f>
        <v>0</v>
      </c>
      <c r="I21" s="17">
        <v>0</v>
      </c>
    </row>
    <row r="22" spans="1:9" x14ac:dyDescent="0.25">
      <c r="F22" s="17"/>
      <c r="G22" s="17"/>
      <c r="H22" s="8">
        <f>SUM(H9:H21)</f>
        <v>15</v>
      </c>
    </row>
    <row r="24" spans="1:9" s="2" customFormat="1" ht="30" x14ac:dyDescent="0.25">
      <c r="B24" s="2" t="s">
        <v>69</v>
      </c>
      <c r="C24" s="2" t="s">
        <v>88</v>
      </c>
      <c r="D24" s="2" t="s">
        <v>89</v>
      </c>
      <c r="E24" s="2" t="s">
        <v>90</v>
      </c>
      <c r="F24" s="2" t="s">
        <v>92</v>
      </c>
      <c r="G24" s="2" t="s">
        <v>137</v>
      </c>
    </row>
    <row r="25" spans="1:9" s="2" customFormat="1" x14ac:dyDescent="0.25">
      <c r="A25" t="s">
        <v>73</v>
      </c>
      <c r="B25" s="12" t="s">
        <v>91</v>
      </c>
      <c r="C25" s="12" t="s">
        <v>91</v>
      </c>
      <c r="D25" s="12" t="s">
        <v>91</v>
      </c>
      <c r="E25" s="12" t="s">
        <v>91</v>
      </c>
      <c r="F25" s="15">
        <f t="shared" ref="F25:F35" si="2">SUM(B25:E25)</f>
        <v>0</v>
      </c>
      <c r="G25" s="16" t="s">
        <v>91</v>
      </c>
    </row>
    <row r="26" spans="1:9" x14ac:dyDescent="0.25">
      <c r="A26" t="s">
        <v>74</v>
      </c>
      <c r="B26">
        <v>8</v>
      </c>
      <c r="C26">
        <v>0</v>
      </c>
      <c r="D26">
        <v>0</v>
      </c>
      <c r="E26">
        <v>0</v>
      </c>
      <c r="F26" s="15">
        <f t="shared" si="2"/>
        <v>8</v>
      </c>
      <c r="G26">
        <v>0</v>
      </c>
    </row>
    <row r="27" spans="1:9" x14ac:dyDescent="0.25">
      <c r="A27" t="s">
        <v>75</v>
      </c>
      <c r="B27">
        <v>8</v>
      </c>
      <c r="C27">
        <v>12</v>
      </c>
      <c r="D27">
        <v>0</v>
      </c>
      <c r="E27">
        <v>0</v>
      </c>
      <c r="F27" s="15">
        <f t="shared" si="2"/>
        <v>20</v>
      </c>
      <c r="G27">
        <v>2</v>
      </c>
    </row>
    <row r="28" spans="1:9" x14ac:dyDescent="0.25">
      <c r="A28" t="s">
        <v>76</v>
      </c>
      <c r="B28">
        <v>4</v>
      </c>
      <c r="C28">
        <v>12</v>
      </c>
      <c r="D28">
        <v>4</v>
      </c>
      <c r="E28">
        <v>0</v>
      </c>
      <c r="F28" s="15">
        <f t="shared" si="2"/>
        <v>20</v>
      </c>
      <c r="G28">
        <v>3</v>
      </c>
    </row>
    <row r="29" spans="1:9" x14ac:dyDescent="0.25">
      <c r="A29" t="s">
        <v>77</v>
      </c>
      <c r="B29">
        <v>0</v>
      </c>
      <c r="C29">
        <v>18</v>
      </c>
      <c r="D29">
        <v>4</v>
      </c>
      <c r="E29">
        <v>0</v>
      </c>
      <c r="F29" s="15">
        <f t="shared" si="2"/>
        <v>22</v>
      </c>
      <c r="G29">
        <v>3</v>
      </c>
    </row>
    <row r="30" spans="1:9" x14ac:dyDescent="0.25">
      <c r="A30" t="s">
        <v>78</v>
      </c>
      <c r="B30">
        <v>0</v>
      </c>
      <c r="C30">
        <v>12</v>
      </c>
      <c r="D30">
        <v>6</v>
      </c>
      <c r="E30">
        <v>0</v>
      </c>
      <c r="F30" s="15">
        <f t="shared" si="2"/>
        <v>18</v>
      </c>
      <c r="G30">
        <v>3</v>
      </c>
    </row>
    <row r="31" spans="1:9" x14ac:dyDescent="0.25">
      <c r="A31" t="s">
        <v>83</v>
      </c>
      <c r="B31">
        <v>0</v>
      </c>
      <c r="C31">
        <v>12</v>
      </c>
      <c r="D31">
        <v>6</v>
      </c>
      <c r="E31">
        <v>0</v>
      </c>
      <c r="F31" s="15">
        <f t="shared" si="2"/>
        <v>18</v>
      </c>
      <c r="G31">
        <v>2</v>
      </c>
    </row>
    <row r="32" spans="1:9" x14ac:dyDescent="0.25">
      <c r="A32" t="s">
        <v>84</v>
      </c>
      <c r="B32">
        <v>0</v>
      </c>
      <c r="C32">
        <v>8</v>
      </c>
      <c r="D32">
        <v>16</v>
      </c>
      <c r="E32">
        <v>6</v>
      </c>
      <c r="F32" s="15">
        <f t="shared" si="2"/>
        <v>30</v>
      </c>
      <c r="G32">
        <v>2</v>
      </c>
    </row>
    <row r="33" spans="1:11" x14ac:dyDescent="0.25">
      <c r="A33" t="s">
        <v>85</v>
      </c>
      <c r="B33">
        <v>0</v>
      </c>
      <c r="C33">
        <v>0</v>
      </c>
      <c r="D33">
        <v>0</v>
      </c>
      <c r="E33">
        <v>30</v>
      </c>
      <c r="F33" s="15">
        <f t="shared" si="2"/>
        <v>30</v>
      </c>
      <c r="G33">
        <v>5</v>
      </c>
    </row>
    <row r="34" spans="1:11" x14ac:dyDescent="0.25">
      <c r="A34" t="s">
        <v>86</v>
      </c>
      <c r="B34">
        <v>0</v>
      </c>
      <c r="C34">
        <v>0</v>
      </c>
      <c r="D34">
        <v>0</v>
      </c>
      <c r="E34">
        <v>30</v>
      </c>
      <c r="F34" s="15">
        <f t="shared" si="2"/>
        <v>30</v>
      </c>
      <c r="G34">
        <v>5</v>
      </c>
    </row>
    <row r="35" spans="1:11" x14ac:dyDescent="0.25">
      <c r="A35" t="s">
        <v>87</v>
      </c>
      <c r="B35">
        <v>0</v>
      </c>
      <c r="C35">
        <v>0</v>
      </c>
      <c r="D35">
        <v>0</v>
      </c>
      <c r="E35">
        <v>0</v>
      </c>
      <c r="F35" s="15">
        <f t="shared" si="2"/>
        <v>0</v>
      </c>
      <c r="G35">
        <v>0</v>
      </c>
    </row>
    <row r="36" spans="1:11" x14ac:dyDescent="0.25">
      <c r="F36" s="15">
        <f>SUM(F25:F35)</f>
        <v>196</v>
      </c>
    </row>
    <row r="38" spans="1:11" x14ac:dyDescent="0.25">
      <c r="B38" t="s">
        <v>74</v>
      </c>
      <c r="C38" t="s">
        <v>75</v>
      </c>
      <c r="D38" t="s">
        <v>76</v>
      </c>
      <c r="E38" t="s">
        <v>77</v>
      </c>
      <c r="F38" s="2" t="s">
        <v>78</v>
      </c>
      <c r="G38" t="s">
        <v>79</v>
      </c>
      <c r="H38" t="s">
        <v>80</v>
      </c>
      <c r="I38" t="s">
        <v>81</v>
      </c>
      <c r="J38" t="s">
        <v>82</v>
      </c>
      <c r="K38" t="s">
        <v>138</v>
      </c>
    </row>
    <row r="39" spans="1:11" x14ac:dyDescent="0.25">
      <c r="A39" t="s">
        <v>93</v>
      </c>
      <c r="B39">
        <v>8</v>
      </c>
      <c r="C39">
        <v>8</v>
      </c>
      <c r="D39">
        <v>8</v>
      </c>
      <c r="E39">
        <v>8</v>
      </c>
      <c r="F39">
        <v>0</v>
      </c>
      <c r="G39">
        <v>0</v>
      </c>
      <c r="H39">
        <v>0</v>
      </c>
      <c r="I39">
        <v>0</v>
      </c>
      <c r="J39">
        <v>0</v>
      </c>
    </row>
    <row r="40" spans="1:11" x14ac:dyDescent="0.25">
      <c r="A40" t="s">
        <v>94</v>
      </c>
      <c r="B40">
        <v>0</v>
      </c>
      <c r="C40">
        <v>12</v>
      </c>
      <c r="D40">
        <v>12</v>
      </c>
      <c r="E40">
        <v>12</v>
      </c>
      <c r="F40">
        <v>12</v>
      </c>
      <c r="G40">
        <v>0</v>
      </c>
      <c r="H40">
        <v>0</v>
      </c>
      <c r="I40">
        <v>0</v>
      </c>
      <c r="J40">
        <v>0</v>
      </c>
    </row>
    <row r="41" spans="1:11" x14ac:dyDescent="0.25">
      <c r="A41" t="s">
        <v>95</v>
      </c>
      <c r="B41">
        <v>0</v>
      </c>
      <c r="C41">
        <v>0</v>
      </c>
      <c r="D41">
        <v>0</v>
      </c>
      <c r="E41">
        <v>0</v>
      </c>
      <c r="F41">
        <v>4</v>
      </c>
      <c r="G41">
        <v>4</v>
      </c>
      <c r="H41">
        <v>4</v>
      </c>
      <c r="I41">
        <v>6</v>
      </c>
      <c r="J41">
        <v>6</v>
      </c>
    </row>
    <row r="42" spans="1:11" x14ac:dyDescent="0.25">
      <c r="A42" t="s">
        <v>136</v>
      </c>
      <c r="B42">
        <v>0</v>
      </c>
      <c r="C42">
        <v>0</v>
      </c>
      <c r="D42">
        <v>0</v>
      </c>
      <c r="E42">
        <v>0</v>
      </c>
      <c r="F42">
        <v>0</v>
      </c>
      <c r="G42">
        <v>12</v>
      </c>
      <c r="H42">
        <v>24</v>
      </c>
      <c r="I42">
        <v>24</v>
      </c>
      <c r="J42">
        <v>24</v>
      </c>
    </row>
    <row r="43" spans="1:11" x14ac:dyDescent="0.25">
      <c r="A43" t="s">
        <v>145</v>
      </c>
      <c r="B43">
        <v>0</v>
      </c>
      <c r="C43">
        <v>0</v>
      </c>
      <c r="D43">
        <v>0</v>
      </c>
      <c r="E43">
        <v>2</v>
      </c>
      <c r="F43">
        <v>2</v>
      </c>
      <c r="G43">
        <v>2</v>
      </c>
      <c r="H43">
        <v>2</v>
      </c>
      <c r="I43">
        <v>0</v>
      </c>
      <c r="J43">
        <v>0</v>
      </c>
    </row>
    <row r="44" spans="1:11" x14ac:dyDescent="0.25">
      <c r="B44">
        <f t="shared" ref="B44:J44" si="3">SUM(B39:B43)</f>
        <v>8</v>
      </c>
      <c r="C44">
        <f t="shared" si="3"/>
        <v>20</v>
      </c>
      <c r="D44">
        <f t="shared" si="3"/>
        <v>20</v>
      </c>
      <c r="E44">
        <f t="shared" si="3"/>
        <v>22</v>
      </c>
      <c r="F44">
        <f t="shared" si="3"/>
        <v>18</v>
      </c>
      <c r="G44">
        <f t="shared" si="3"/>
        <v>18</v>
      </c>
      <c r="H44">
        <f t="shared" si="3"/>
        <v>30</v>
      </c>
      <c r="I44">
        <f t="shared" si="3"/>
        <v>30</v>
      </c>
      <c r="J44">
        <f t="shared" si="3"/>
        <v>30</v>
      </c>
      <c r="K44">
        <f>SUM(B44:J44)</f>
        <v>196</v>
      </c>
    </row>
    <row r="45" spans="1:11" x14ac:dyDescent="0.25">
      <c r="A45" t="s">
        <v>140</v>
      </c>
    </row>
    <row r="46" spans="1:11" x14ac:dyDescent="0.25">
      <c r="A46" t="s">
        <v>139</v>
      </c>
    </row>
    <row r="49" spans="1:7" x14ac:dyDescent="0.25">
      <c r="A49" t="s">
        <v>103</v>
      </c>
      <c r="B49" s="20">
        <v>0.1</v>
      </c>
    </row>
    <row r="50" spans="1:7" x14ac:dyDescent="0.25">
      <c r="A50" t="s">
        <v>104</v>
      </c>
      <c r="B50" s="7">
        <v>20</v>
      </c>
    </row>
    <row r="51" spans="1:7" x14ac:dyDescent="0.25">
      <c r="A51" t="s">
        <v>105</v>
      </c>
      <c r="B51" s="7">
        <v>11.5</v>
      </c>
    </row>
    <row r="52" spans="1:7" x14ac:dyDescent="0.25">
      <c r="A52" t="s">
        <v>19</v>
      </c>
      <c r="B52" s="7">
        <f>Rates!D32</f>
        <v>25.804955527318931</v>
      </c>
    </row>
    <row r="53" spans="1:7" x14ac:dyDescent="0.25">
      <c r="A53" t="s">
        <v>106</v>
      </c>
      <c r="B53" s="7">
        <v>2.0499999999999998</v>
      </c>
    </row>
    <row r="54" spans="1:7" x14ac:dyDescent="0.25">
      <c r="A54" t="s">
        <v>179</v>
      </c>
      <c r="B54" s="7">
        <v>0.1</v>
      </c>
    </row>
    <row r="55" spans="1:7" x14ac:dyDescent="0.25">
      <c r="F55" t="s">
        <v>108</v>
      </c>
    </row>
    <row r="56" spans="1:7" x14ac:dyDescent="0.25">
      <c r="A56" t="s">
        <v>99</v>
      </c>
      <c r="B56">
        <v>1</v>
      </c>
      <c r="C56" s="7">
        <v>95</v>
      </c>
      <c r="F56" s="7">
        <f>C56</f>
        <v>95</v>
      </c>
    </row>
    <row r="57" spans="1:7" x14ac:dyDescent="0.25">
      <c r="A57" t="s">
        <v>185</v>
      </c>
      <c r="B57">
        <v>1.5</v>
      </c>
      <c r="C57" s="7">
        <f>B57*B50</f>
        <v>30</v>
      </c>
      <c r="F57" s="7">
        <f>C57</f>
        <v>30</v>
      </c>
    </row>
    <row r="58" spans="1:7" x14ac:dyDescent="0.25">
      <c r="A58" t="s">
        <v>17</v>
      </c>
      <c r="B58">
        <v>30</v>
      </c>
      <c r="C58" s="7">
        <f>B52*B58</f>
        <v>774.1486658195679</v>
      </c>
    </row>
    <row r="59" spans="1:7" x14ac:dyDescent="0.25">
      <c r="A59" t="s">
        <v>96</v>
      </c>
      <c r="B59">
        <f>K44</f>
        <v>196</v>
      </c>
      <c r="C59" s="7">
        <f>B53*B59</f>
        <v>401.79999999999995</v>
      </c>
      <c r="F59" s="7">
        <f>Rates!B39*B59</f>
        <v>245</v>
      </c>
      <c r="G59" s="7">
        <f>F59/2</f>
        <v>122.5</v>
      </c>
    </row>
    <row r="60" spans="1:7" x14ac:dyDescent="0.25">
      <c r="A60" t="s">
        <v>97</v>
      </c>
      <c r="B60">
        <v>16</v>
      </c>
      <c r="C60" s="7">
        <f>B60*B51</f>
        <v>184</v>
      </c>
    </row>
    <row r="61" spans="1:7" x14ac:dyDescent="0.25">
      <c r="A61" t="s">
        <v>98</v>
      </c>
      <c r="B61">
        <v>8.5</v>
      </c>
      <c r="C61" s="7">
        <f>B61*B50</f>
        <v>170</v>
      </c>
    </row>
    <row r="62" spans="1:7" x14ac:dyDescent="0.25">
      <c r="A62" t="s">
        <v>101</v>
      </c>
      <c r="B62">
        <f>B59*B49</f>
        <v>19.600000000000001</v>
      </c>
      <c r="C62" s="7">
        <f>B62*B50</f>
        <v>392</v>
      </c>
    </row>
    <row r="63" spans="1:7" x14ac:dyDescent="0.25">
      <c r="A63" t="s">
        <v>102</v>
      </c>
      <c r="B63">
        <v>1.5</v>
      </c>
      <c r="C63" s="7">
        <f>B63*B50</f>
        <v>30</v>
      </c>
      <c r="F63" s="7">
        <f>C63</f>
        <v>30</v>
      </c>
    </row>
    <row r="64" spans="1:7" x14ac:dyDescent="0.25">
      <c r="A64" t="s">
        <v>179</v>
      </c>
      <c r="B64">
        <v>1000</v>
      </c>
      <c r="C64" s="7">
        <f>B64*B54</f>
        <v>100</v>
      </c>
      <c r="F64" s="7"/>
    </row>
    <row r="65" spans="1:7" x14ac:dyDescent="0.25">
      <c r="C65" s="7">
        <f>SUM(C56:C64)</f>
        <v>2176.9486658195679</v>
      </c>
      <c r="D65" s="7">
        <f>C65</f>
        <v>2176.9486658195679</v>
      </c>
      <c r="F65" s="7">
        <f>SUM(F56:F63)</f>
        <v>400</v>
      </c>
      <c r="G65" s="7">
        <f>F65</f>
        <v>400</v>
      </c>
    </row>
    <row r="66" spans="1:7" x14ac:dyDescent="0.25">
      <c r="C66" s="7"/>
    </row>
    <row r="67" spans="1:7" x14ac:dyDescent="0.25">
      <c r="A67" t="s">
        <v>107</v>
      </c>
      <c r="B67" s="9">
        <v>0.15</v>
      </c>
      <c r="C67" s="7">
        <f>C65*B67</f>
        <v>326.54229987293519</v>
      </c>
      <c r="D67" s="7">
        <f>C67</f>
        <v>326.54229987293519</v>
      </c>
      <c r="F67" s="7">
        <f>F65*B67</f>
        <v>60</v>
      </c>
      <c r="G67" s="7">
        <f>F67</f>
        <v>60</v>
      </c>
    </row>
    <row r="68" spans="1:7" x14ac:dyDescent="0.25">
      <c r="D68" s="7">
        <f>SUM(D65:D67)</f>
        <v>2503.4909656925029</v>
      </c>
      <c r="G68" s="7">
        <f>SUM(G65:G67)</f>
        <v>460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3" workbookViewId="0">
      <selection activeCell="B43" sqref="B43"/>
    </sheetView>
  </sheetViews>
  <sheetFormatPr defaultRowHeight="15" x14ac:dyDescent="0.25"/>
  <cols>
    <col min="1" max="1" width="24.5703125" bestFit="1" customWidth="1"/>
  </cols>
  <sheetData>
    <row r="1" spans="1:7" x14ac:dyDescent="0.25">
      <c r="A1" t="s">
        <v>68</v>
      </c>
      <c r="C1">
        <v>1.5</v>
      </c>
    </row>
    <row r="2" spans="1:7" x14ac:dyDescent="0.25">
      <c r="A2" t="s">
        <v>69</v>
      </c>
      <c r="C2">
        <v>1</v>
      </c>
    </row>
    <row r="3" spans="1:7" x14ac:dyDescent="0.25">
      <c r="A3" t="s">
        <v>70</v>
      </c>
      <c r="C3">
        <v>7</v>
      </c>
    </row>
    <row r="4" spans="1:7" x14ac:dyDescent="0.25">
      <c r="A4" t="s">
        <v>71</v>
      </c>
      <c r="C4">
        <v>1</v>
      </c>
    </row>
    <row r="5" spans="1:7" x14ac:dyDescent="0.25">
      <c r="A5" t="s">
        <v>72</v>
      </c>
      <c r="C5">
        <v>1.5</v>
      </c>
    </row>
    <row r="7" spans="1:7" s="2" customFormat="1" ht="45" x14ac:dyDescent="0.25">
      <c r="B7" s="2" t="s">
        <v>69</v>
      </c>
      <c r="C7" s="2" t="s">
        <v>88</v>
      </c>
      <c r="D7" s="2" t="s">
        <v>89</v>
      </c>
      <c r="E7" s="2" t="s">
        <v>90</v>
      </c>
      <c r="F7" s="2" t="s">
        <v>92</v>
      </c>
      <c r="G7" s="2" t="s">
        <v>141</v>
      </c>
    </row>
    <row r="8" spans="1:7" x14ac:dyDescent="0.25">
      <c r="A8" t="s">
        <v>73</v>
      </c>
      <c r="B8" s="12" t="s">
        <v>91</v>
      </c>
      <c r="C8" s="12" t="s">
        <v>91</v>
      </c>
      <c r="D8" s="12" t="s">
        <v>91</v>
      </c>
      <c r="E8" s="12" t="s">
        <v>91</v>
      </c>
      <c r="F8" s="15">
        <f t="shared" ref="F8:F18" si="0">SUM(B8:E8)</f>
        <v>0</v>
      </c>
      <c r="G8" s="15">
        <v>0</v>
      </c>
    </row>
    <row r="9" spans="1:7" x14ac:dyDescent="0.25">
      <c r="A9" t="s">
        <v>74</v>
      </c>
      <c r="B9">
        <v>8</v>
      </c>
      <c r="C9">
        <v>0</v>
      </c>
      <c r="D9">
        <v>0</v>
      </c>
      <c r="E9">
        <v>0</v>
      </c>
      <c r="F9" s="15">
        <f t="shared" si="0"/>
        <v>8</v>
      </c>
      <c r="G9" s="17">
        <v>0</v>
      </c>
    </row>
    <row r="10" spans="1:7" x14ac:dyDescent="0.25">
      <c r="A10" t="s">
        <v>75</v>
      </c>
      <c r="B10">
        <v>4</v>
      </c>
      <c r="C10">
        <v>12</v>
      </c>
      <c r="D10">
        <v>0</v>
      </c>
      <c r="E10">
        <v>0</v>
      </c>
      <c r="F10" s="15">
        <f t="shared" si="0"/>
        <v>16</v>
      </c>
      <c r="G10" s="17">
        <v>2</v>
      </c>
    </row>
    <row r="11" spans="1:7" x14ac:dyDescent="0.25">
      <c r="A11" t="s">
        <v>76</v>
      </c>
      <c r="B11">
        <v>4</v>
      </c>
      <c r="C11">
        <v>12</v>
      </c>
      <c r="D11">
        <v>4</v>
      </c>
      <c r="E11">
        <v>0</v>
      </c>
      <c r="F11" s="15">
        <f t="shared" si="0"/>
        <v>20</v>
      </c>
      <c r="G11" s="17">
        <v>2</v>
      </c>
    </row>
    <row r="12" spans="1:7" x14ac:dyDescent="0.25">
      <c r="A12" t="s">
        <v>77</v>
      </c>
      <c r="B12">
        <v>0</v>
      </c>
      <c r="C12">
        <v>18</v>
      </c>
      <c r="D12">
        <v>2</v>
      </c>
      <c r="E12">
        <v>0</v>
      </c>
      <c r="F12" s="15">
        <f t="shared" si="0"/>
        <v>20</v>
      </c>
      <c r="G12" s="17">
        <v>3</v>
      </c>
    </row>
    <row r="13" spans="1:7" x14ac:dyDescent="0.25">
      <c r="A13" t="s">
        <v>78</v>
      </c>
      <c r="B13">
        <v>0</v>
      </c>
      <c r="C13">
        <v>12</v>
      </c>
      <c r="D13">
        <v>4</v>
      </c>
      <c r="E13">
        <v>0</v>
      </c>
      <c r="F13" s="15">
        <f t="shared" si="0"/>
        <v>16</v>
      </c>
      <c r="G13" s="17">
        <v>2</v>
      </c>
    </row>
    <row r="14" spans="1:7" x14ac:dyDescent="0.25">
      <c r="A14" t="s">
        <v>83</v>
      </c>
      <c r="B14">
        <v>0</v>
      </c>
      <c r="C14">
        <v>12</v>
      </c>
      <c r="D14">
        <v>4</v>
      </c>
      <c r="E14">
        <v>0</v>
      </c>
      <c r="F14" s="15">
        <f t="shared" si="0"/>
        <v>16</v>
      </c>
      <c r="G14" s="17">
        <v>2</v>
      </c>
    </row>
    <row r="15" spans="1:7" x14ac:dyDescent="0.25">
      <c r="A15" t="s">
        <v>84</v>
      </c>
      <c r="B15">
        <v>0</v>
      </c>
      <c r="C15">
        <v>6</v>
      </c>
      <c r="D15">
        <v>12</v>
      </c>
      <c r="E15">
        <v>6</v>
      </c>
      <c r="F15" s="15">
        <f t="shared" si="0"/>
        <v>24</v>
      </c>
      <c r="G15" s="17">
        <v>4</v>
      </c>
    </row>
    <row r="16" spans="1:7" x14ac:dyDescent="0.25">
      <c r="A16" t="s">
        <v>85</v>
      </c>
      <c r="B16">
        <v>0</v>
      </c>
      <c r="C16">
        <v>0</v>
      </c>
      <c r="D16">
        <v>0</v>
      </c>
      <c r="E16">
        <v>24</v>
      </c>
      <c r="F16" s="15">
        <f t="shared" si="0"/>
        <v>24</v>
      </c>
      <c r="G16" s="17">
        <v>4</v>
      </c>
    </row>
    <row r="17" spans="1:11" x14ac:dyDescent="0.25">
      <c r="A17" t="s">
        <v>86</v>
      </c>
      <c r="B17">
        <v>0</v>
      </c>
      <c r="C17">
        <v>0</v>
      </c>
      <c r="D17">
        <v>0</v>
      </c>
      <c r="E17">
        <v>24</v>
      </c>
      <c r="F17" s="15">
        <f t="shared" si="0"/>
        <v>24</v>
      </c>
      <c r="G17" s="17">
        <v>4</v>
      </c>
    </row>
    <row r="18" spans="1:11" x14ac:dyDescent="0.25">
      <c r="A18" t="s">
        <v>87</v>
      </c>
      <c r="B18">
        <v>0</v>
      </c>
      <c r="C18">
        <v>0</v>
      </c>
      <c r="D18">
        <v>0</v>
      </c>
      <c r="E18">
        <v>0</v>
      </c>
      <c r="F18" s="15">
        <f t="shared" si="0"/>
        <v>0</v>
      </c>
      <c r="G18" s="17"/>
    </row>
    <row r="19" spans="1:11" x14ac:dyDescent="0.25">
      <c r="F19" s="15">
        <f>SUM(F8:F18)</f>
        <v>168</v>
      </c>
      <c r="G19" s="17"/>
    </row>
    <row r="21" spans="1:11" x14ac:dyDescent="0.25">
      <c r="B21" t="s">
        <v>74</v>
      </c>
      <c r="C21" t="s">
        <v>75</v>
      </c>
      <c r="D21" t="s">
        <v>76</v>
      </c>
      <c r="E21" t="s">
        <v>77</v>
      </c>
      <c r="F21" s="2" t="s">
        <v>78</v>
      </c>
      <c r="G21" t="s">
        <v>79</v>
      </c>
      <c r="H21" t="s">
        <v>142</v>
      </c>
      <c r="I21" t="s">
        <v>143</v>
      </c>
      <c r="J21" t="s">
        <v>144</v>
      </c>
    </row>
    <row r="22" spans="1:11" x14ac:dyDescent="0.25">
      <c r="A22" t="s">
        <v>150</v>
      </c>
      <c r="B22">
        <v>8</v>
      </c>
      <c r="C22">
        <v>8</v>
      </c>
      <c r="D22">
        <v>8</v>
      </c>
      <c r="E22">
        <v>8</v>
      </c>
      <c r="F22">
        <v>0</v>
      </c>
      <c r="G22">
        <v>0</v>
      </c>
      <c r="H22" s="17">
        <v>0</v>
      </c>
      <c r="I22" s="17">
        <v>0</v>
      </c>
      <c r="J22" s="17">
        <v>0</v>
      </c>
      <c r="K22" s="17"/>
    </row>
    <row r="23" spans="1:11" x14ac:dyDescent="0.25">
      <c r="A23" t="s">
        <v>94</v>
      </c>
      <c r="B23">
        <v>0</v>
      </c>
      <c r="C23">
        <v>8</v>
      </c>
      <c r="D23">
        <v>8</v>
      </c>
      <c r="E23">
        <v>8</v>
      </c>
      <c r="F23">
        <v>8</v>
      </c>
      <c r="G23">
        <v>0</v>
      </c>
      <c r="H23" s="17">
        <v>0</v>
      </c>
      <c r="I23" s="17">
        <v>0</v>
      </c>
      <c r="J23" s="17">
        <v>0</v>
      </c>
      <c r="K23" s="17"/>
    </row>
    <row r="24" spans="1:11" x14ac:dyDescent="0.25">
      <c r="A24" t="s">
        <v>95</v>
      </c>
      <c r="B24">
        <v>0</v>
      </c>
      <c r="C24">
        <v>0</v>
      </c>
      <c r="D24">
        <v>4</v>
      </c>
      <c r="E24">
        <v>4</v>
      </c>
      <c r="F24">
        <v>4</v>
      </c>
      <c r="G24">
        <v>0</v>
      </c>
      <c r="H24" s="17">
        <v>0</v>
      </c>
      <c r="I24" s="17">
        <v>0</v>
      </c>
      <c r="J24" s="17">
        <v>0</v>
      </c>
      <c r="K24" s="17"/>
    </row>
    <row r="25" spans="1:11" x14ac:dyDescent="0.25">
      <c r="A25" t="s">
        <v>136</v>
      </c>
      <c r="B25">
        <v>0</v>
      </c>
      <c r="C25">
        <v>0</v>
      </c>
      <c r="D25">
        <v>0</v>
      </c>
      <c r="E25">
        <v>0</v>
      </c>
      <c r="F25">
        <v>0</v>
      </c>
      <c r="G25">
        <v>16</v>
      </c>
      <c r="H25" s="17">
        <v>16</v>
      </c>
      <c r="I25" s="17">
        <v>16</v>
      </c>
      <c r="J25" s="17">
        <v>16</v>
      </c>
      <c r="K25" s="17"/>
    </row>
    <row r="26" spans="1:11" x14ac:dyDescent="0.25">
      <c r="A26" t="s">
        <v>145</v>
      </c>
      <c r="B26">
        <v>0</v>
      </c>
      <c r="C26">
        <v>0</v>
      </c>
      <c r="D26">
        <v>0</v>
      </c>
      <c r="E26">
        <v>0</v>
      </c>
      <c r="F26">
        <v>4</v>
      </c>
      <c r="G26">
        <v>0</v>
      </c>
      <c r="H26" s="17">
        <v>4</v>
      </c>
      <c r="I26" s="17">
        <v>4</v>
      </c>
      <c r="J26" s="17">
        <v>4</v>
      </c>
      <c r="K26" s="17"/>
    </row>
    <row r="27" spans="1:11" x14ac:dyDescent="0.25">
      <c r="A27" t="s">
        <v>146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 s="17">
        <v>4</v>
      </c>
      <c r="I27" s="17">
        <v>4</v>
      </c>
      <c r="J27" s="17">
        <v>4</v>
      </c>
      <c r="K27" s="17"/>
    </row>
    <row r="28" spans="1:11" x14ac:dyDescent="0.25">
      <c r="B28">
        <f t="shared" ref="B28:J28" si="1">SUM(B22:B27)</f>
        <v>8</v>
      </c>
      <c r="C28">
        <f t="shared" si="1"/>
        <v>16</v>
      </c>
      <c r="D28">
        <f t="shared" si="1"/>
        <v>20</v>
      </c>
      <c r="E28">
        <f t="shared" si="1"/>
        <v>20</v>
      </c>
      <c r="F28">
        <f t="shared" si="1"/>
        <v>16</v>
      </c>
      <c r="G28">
        <f t="shared" si="1"/>
        <v>16</v>
      </c>
      <c r="H28">
        <f t="shared" si="1"/>
        <v>24</v>
      </c>
      <c r="I28">
        <f t="shared" si="1"/>
        <v>24</v>
      </c>
      <c r="J28">
        <f t="shared" si="1"/>
        <v>24</v>
      </c>
      <c r="K28" s="17">
        <f>SUM(B28:J28)</f>
        <v>168</v>
      </c>
    </row>
    <row r="29" spans="1:11" x14ac:dyDescent="0.25">
      <c r="A29" t="s">
        <v>148</v>
      </c>
    </row>
    <row r="30" spans="1:11" x14ac:dyDescent="0.25">
      <c r="A30" t="s">
        <v>149</v>
      </c>
    </row>
    <row r="33" spans="1:7" x14ac:dyDescent="0.25">
      <c r="A33" t="s">
        <v>103</v>
      </c>
      <c r="B33" s="9">
        <v>0.1</v>
      </c>
    </row>
    <row r="34" spans="1:7" x14ac:dyDescent="0.25">
      <c r="A34" t="s">
        <v>104</v>
      </c>
      <c r="B34" s="7">
        <v>20</v>
      </c>
    </row>
    <row r="35" spans="1:7" x14ac:dyDescent="0.25">
      <c r="A35" t="s">
        <v>105</v>
      </c>
      <c r="B35" s="7">
        <v>11.5</v>
      </c>
    </row>
    <row r="36" spans="1:7" x14ac:dyDescent="0.25">
      <c r="A36" t="s">
        <v>19</v>
      </c>
      <c r="B36" s="7">
        <f>Rates!D32</f>
        <v>25.804955527318931</v>
      </c>
    </row>
    <row r="37" spans="1:7" x14ac:dyDescent="0.25">
      <c r="A37" t="s">
        <v>106</v>
      </c>
      <c r="B37" s="7">
        <v>2.0499999999999998</v>
      </c>
    </row>
    <row r="38" spans="1:7" x14ac:dyDescent="0.25">
      <c r="A38" t="s">
        <v>109</v>
      </c>
      <c r="B38" s="7">
        <v>1.25</v>
      </c>
    </row>
    <row r="39" spans="1:7" x14ac:dyDescent="0.25">
      <c r="A39" t="s">
        <v>179</v>
      </c>
      <c r="B39" s="7">
        <v>0.1</v>
      </c>
    </row>
    <row r="40" spans="1:7" x14ac:dyDescent="0.25">
      <c r="F40" t="s">
        <v>108</v>
      </c>
    </row>
    <row r="41" spans="1:7" x14ac:dyDescent="0.25">
      <c r="A41" t="s">
        <v>99</v>
      </c>
      <c r="B41">
        <v>1</v>
      </c>
      <c r="C41" s="7">
        <v>95</v>
      </c>
      <c r="F41" s="7">
        <f>C41</f>
        <v>95</v>
      </c>
    </row>
    <row r="42" spans="1:7" x14ac:dyDescent="0.25">
      <c r="A42" t="s">
        <v>100</v>
      </c>
      <c r="B42">
        <v>1.5</v>
      </c>
      <c r="C42" s="7">
        <f>B42*B34</f>
        <v>30</v>
      </c>
      <c r="F42" s="7">
        <f>C42</f>
        <v>30</v>
      </c>
    </row>
    <row r="43" spans="1:7" x14ac:dyDescent="0.25">
      <c r="A43" t="s">
        <v>17</v>
      </c>
      <c r="B43">
        <v>24</v>
      </c>
      <c r="C43" s="7">
        <f>B36*B43</f>
        <v>619.31893265565441</v>
      </c>
    </row>
    <row r="44" spans="1:7" x14ac:dyDescent="0.25">
      <c r="A44" t="s">
        <v>96</v>
      </c>
      <c r="B44" s="17">
        <f>K28</f>
        <v>168</v>
      </c>
      <c r="C44" s="7">
        <f>B37*B44</f>
        <v>344.4</v>
      </c>
      <c r="F44" s="7">
        <f>B38*B44</f>
        <v>210</v>
      </c>
      <c r="G44" s="7">
        <f>F44/2</f>
        <v>105</v>
      </c>
    </row>
    <row r="45" spans="1:7" x14ac:dyDescent="0.25">
      <c r="A45" t="s">
        <v>97</v>
      </c>
      <c r="B45">
        <v>16</v>
      </c>
      <c r="C45" s="7">
        <f>B45*B35</f>
        <v>184</v>
      </c>
    </row>
    <row r="46" spans="1:7" x14ac:dyDescent="0.25">
      <c r="A46" t="s">
        <v>98</v>
      </c>
      <c r="B46">
        <v>8.5</v>
      </c>
      <c r="C46" s="7">
        <f>B46*B34</f>
        <v>170</v>
      </c>
    </row>
    <row r="47" spans="1:7" x14ac:dyDescent="0.25">
      <c r="A47" t="s">
        <v>101</v>
      </c>
      <c r="B47">
        <f>B44*B33</f>
        <v>16.8</v>
      </c>
      <c r="C47" s="7">
        <f>B47*B34</f>
        <v>336</v>
      </c>
    </row>
    <row r="48" spans="1:7" x14ac:dyDescent="0.25">
      <c r="A48" t="s">
        <v>102</v>
      </c>
      <c r="B48">
        <v>1.5</v>
      </c>
      <c r="C48" s="7">
        <f>B48*B34</f>
        <v>30</v>
      </c>
      <c r="F48" s="7">
        <f>C48</f>
        <v>30</v>
      </c>
    </row>
    <row r="49" spans="1:7" x14ac:dyDescent="0.25">
      <c r="A49" t="s">
        <v>179</v>
      </c>
      <c r="B49">
        <v>800</v>
      </c>
      <c r="C49" s="7">
        <f>B39*B49</f>
        <v>80</v>
      </c>
      <c r="F49" s="7"/>
    </row>
    <row r="50" spans="1:7" x14ac:dyDescent="0.25">
      <c r="C50" s="7">
        <f>SUM(C41:C49)</f>
        <v>1888.7189326556545</v>
      </c>
      <c r="D50" s="7">
        <f>C50</f>
        <v>1888.7189326556545</v>
      </c>
      <c r="F50" s="7">
        <f>SUM(F41:F48)</f>
        <v>365</v>
      </c>
      <c r="G50" s="7">
        <f>F50</f>
        <v>365</v>
      </c>
    </row>
    <row r="51" spans="1:7" x14ac:dyDescent="0.25">
      <c r="C51" s="7"/>
    </row>
    <row r="52" spans="1:7" x14ac:dyDescent="0.25">
      <c r="A52" t="s">
        <v>107</v>
      </c>
      <c r="B52" s="9">
        <v>0.15</v>
      </c>
      <c r="C52" s="7">
        <f>C50*B52</f>
        <v>283.30783989834816</v>
      </c>
      <c r="D52" s="7">
        <f>C52</f>
        <v>283.30783989834816</v>
      </c>
      <c r="F52" s="7">
        <f>F50*B52</f>
        <v>54.75</v>
      </c>
      <c r="G52" s="7">
        <f>F52</f>
        <v>54.75</v>
      </c>
    </row>
    <row r="53" spans="1:7" x14ac:dyDescent="0.25">
      <c r="D53" s="7">
        <f>SUM(D50:D52)</f>
        <v>2172.0267725540025</v>
      </c>
      <c r="G53" s="7">
        <f>SUM(G50:G52)</f>
        <v>419.75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9" workbookViewId="0">
      <selection activeCell="B43" sqref="B43"/>
    </sheetView>
  </sheetViews>
  <sheetFormatPr defaultRowHeight="15" x14ac:dyDescent="0.25"/>
  <cols>
    <col min="1" max="1" width="27.85546875" bestFit="1" customWidth="1"/>
  </cols>
  <sheetData>
    <row r="1" spans="1:7" x14ac:dyDescent="0.25">
      <c r="A1" t="s">
        <v>68</v>
      </c>
      <c r="C1">
        <v>1.5</v>
      </c>
    </row>
    <row r="2" spans="1:7" x14ac:dyDescent="0.25">
      <c r="A2" t="s">
        <v>69</v>
      </c>
      <c r="C2">
        <v>1</v>
      </c>
    </row>
    <row r="3" spans="1:7" x14ac:dyDescent="0.25">
      <c r="A3" t="s">
        <v>70</v>
      </c>
      <c r="C3">
        <v>7</v>
      </c>
    </row>
    <row r="4" spans="1:7" x14ac:dyDescent="0.25">
      <c r="A4" t="s">
        <v>71</v>
      </c>
      <c r="C4">
        <v>1</v>
      </c>
    </row>
    <row r="5" spans="1:7" x14ac:dyDescent="0.25">
      <c r="A5" t="s">
        <v>72</v>
      </c>
      <c r="C5">
        <v>1.5</v>
      </c>
    </row>
    <row r="7" spans="1:7" s="2" customFormat="1" ht="45" x14ac:dyDescent="0.25">
      <c r="B7" s="2" t="s">
        <v>69</v>
      </c>
      <c r="C7" s="2" t="s">
        <v>88</v>
      </c>
      <c r="D7" s="2" t="s">
        <v>89</v>
      </c>
      <c r="E7" s="2" t="s">
        <v>90</v>
      </c>
      <c r="F7" s="2" t="s">
        <v>92</v>
      </c>
      <c r="G7" s="2" t="s">
        <v>141</v>
      </c>
    </row>
    <row r="8" spans="1:7" x14ac:dyDescent="0.25">
      <c r="A8" t="s">
        <v>73</v>
      </c>
      <c r="B8" s="12" t="s">
        <v>91</v>
      </c>
      <c r="C8" s="12" t="s">
        <v>91</v>
      </c>
      <c r="D8" s="12" t="s">
        <v>91</v>
      </c>
      <c r="E8" s="12" t="s">
        <v>91</v>
      </c>
      <c r="F8" s="16">
        <f t="shared" ref="F8:F17" si="0">SUM(B8:E8)</f>
        <v>0</v>
      </c>
      <c r="G8" s="16" t="s">
        <v>91</v>
      </c>
    </row>
    <row r="9" spans="1:7" x14ac:dyDescent="0.25">
      <c r="A9" t="s">
        <v>74</v>
      </c>
      <c r="B9">
        <v>8</v>
      </c>
      <c r="C9">
        <v>0</v>
      </c>
      <c r="D9">
        <v>0</v>
      </c>
      <c r="E9">
        <v>0</v>
      </c>
      <c r="F9" s="16">
        <f t="shared" si="0"/>
        <v>8</v>
      </c>
      <c r="G9">
        <v>0</v>
      </c>
    </row>
    <row r="10" spans="1:7" x14ac:dyDescent="0.25">
      <c r="A10" t="s">
        <v>75</v>
      </c>
      <c r="B10">
        <v>4</v>
      </c>
      <c r="C10">
        <v>12</v>
      </c>
      <c r="D10">
        <v>0</v>
      </c>
      <c r="E10">
        <v>0</v>
      </c>
      <c r="F10" s="16">
        <f t="shared" si="0"/>
        <v>16</v>
      </c>
      <c r="G10">
        <v>2</v>
      </c>
    </row>
    <row r="11" spans="1:7" x14ac:dyDescent="0.25">
      <c r="A11" t="s">
        <v>76</v>
      </c>
      <c r="B11">
        <v>0</v>
      </c>
      <c r="C11">
        <v>12</v>
      </c>
      <c r="D11">
        <v>4</v>
      </c>
      <c r="E11">
        <v>0</v>
      </c>
      <c r="F11" s="16">
        <f t="shared" si="0"/>
        <v>16</v>
      </c>
      <c r="G11">
        <v>2</v>
      </c>
    </row>
    <row r="12" spans="1:7" x14ac:dyDescent="0.25">
      <c r="A12" t="s">
        <v>77</v>
      </c>
      <c r="B12">
        <v>0</v>
      </c>
      <c r="C12">
        <v>18</v>
      </c>
      <c r="D12">
        <v>0</v>
      </c>
      <c r="E12">
        <v>0</v>
      </c>
      <c r="F12" s="16">
        <f t="shared" si="0"/>
        <v>18</v>
      </c>
      <c r="G12">
        <v>3</v>
      </c>
    </row>
    <row r="13" spans="1:7" x14ac:dyDescent="0.25">
      <c r="A13" t="s">
        <v>78</v>
      </c>
      <c r="B13">
        <v>0</v>
      </c>
      <c r="C13">
        <v>18</v>
      </c>
      <c r="D13">
        <v>0</v>
      </c>
      <c r="E13">
        <v>0</v>
      </c>
      <c r="F13" s="16">
        <f t="shared" si="0"/>
        <v>18</v>
      </c>
      <c r="G13">
        <v>3</v>
      </c>
    </row>
    <row r="14" spans="1:7" x14ac:dyDescent="0.25">
      <c r="A14" t="s">
        <v>83</v>
      </c>
      <c r="B14">
        <v>0</v>
      </c>
      <c r="C14">
        <v>12</v>
      </c>
      <c r="D14">
        <v>2</v>
      </c>
      <c r="E14">
        <v>0</v>
      </c>
      <c r="F14" s="16">
        <f t="shared" si="0"/>
        <v>14</v>
      </c>
      <c r="G14">
        <v>2</v>
      </c>
    </row>
    <row r="15" spans="1:7" x14ac:dyDescent="0.25">
      <c r="A15" t="s">
        <v>84</v>
      </c>
      <c r="B15">
        <v>0</v>
      </c>
      <c r="C15">
        <v>0</v>
      </c>
      <c r="D15">
        <v>4</v>
      </c>
      <c r="E15">
        <v>6</v>
      </c>
      <c r="F15" s="16">
        <f t="shared" si="0"/>
        <v>10</v>
      </c>
      <c r="G15">
        <v>1</v>
      </c>
    </row>
    <row r="16" spans="1:7" x14ac:dyDescent="0.25">
      <c r="A16" t="s">
        <v>85</v>
      </c>
      <c r="B16">
        <v>0</v>
      </c>
      <c r="C16">
        <v>0</v>
      </c>
      <c r="D16">
        <v>0</v>
      </c>
      <c r="E16">
        <v>18</v>
      </c>
      <c r="F16" s="16">
        <f t="shared" si="0"/>
        <v>18</v>
      </c>
      <c r="G16">
        <v>3</v>
      </c>
    </row>
    <row r="17" spans="1:11" x14ac:dyDescent="0.25">
      <c r="A17" t="s">
        <v>86</v>
      </c>
      <c r="B17">
        <v>0</v>
      </c>
      <c r="C17">
        <v>0</v>
      </c>
      <c r="D17">
        <v>0</v>
      </c>
      <c r="E17">
        <v>18</v>
      </c>
      <c r="F17" s="16">
        <f t="shared" si="0"/>
        <v>18</v>
      </c>
      <c r="G17">
        <v>3</v>
      </c>
    </row>
    <row r="18" spans="1:11" ht="30" x14ac:dyDescent="0.25">
      <c r="A18" t="s">
        <v>87</v>
      </c>
      <c r="B18" s="17">
        <v>0</v>
      </c>
      <c r="C18" s="17">
        <v>0</v>
      </c>
      <c r="D18" s="17">
        <v>0</v>
      </c>
      <c r="E18" s="17">
        <v>0</v>
      </c>
      <c r="F18" s="15">
        <f>SUM(F8:F17)</f>
        <v>136</v>
      </c>
      <c r="G18" s="17"/>
    </row>
    <row r="20" spans="1:11" x14ac:dyDescent="0.25">
      <c r="B20" t="s">
        <v>74</v>
      </c>
      <c r="C20" t="s">
        <v>75</v>
      </c>
      <c r="D20" t="s">
        <v>76</v>
      </c>
      <c r="E20" t="s">
        <v>77</v>
      </c>
      <c r="F20" s="2" t="s">
        <v>78</v>
      </c>
      <c r="G20" t="s">
        <v>79</v>
      </c>
      <c r="H20" t="s">
        <v>142</v>
      </c>
      <c r="I20" t="s">
        <v>143</v>
      </c>
      <c r="J20" t="s">
        <v>144</v>
      </c>
    </row>
    <row r="21" spans="1:11" x14ac:dyDescent="0.25">
      <c r="A21" t="s">
        <v>93</v>
      </c>
      <c r="B21">
        <v>8</v>
      </c>
      <c r="C21">
        <v>8</v>
      </c>
      <c r="D21">
        <v>8</v>
      </c>
      <c r="E21">
        <v>8</v>
      </c>
      <c r="F21">
        <v>0</v>
      </c>
      <c r="G21">
        <v>0</v>
      </c>
      <c r="H21" s="17">
        <v>0</v>
      </c>
      <c r="I21" s="17">
        <v>0</v>
      </c>
      <c r="J21" s="17">
        <v>0</v>
      </c>
      <c r="K21" s="17"/>
    </row>
    <row r="22" spans="1:11" x14ac:dyDescent="0.25">
      <c r="A22" t="s">
        <v>94</v>
      </c>
      <c r="B22">
        <v>0</v>
      </c>
      <c r="C22">
        <v>8</v>
      </c>
      <c r="D22">
        <v>8</v>
      </c>
      <c r="E22">
        <v>8</v>
      </c>
      <c r="F22">
        <v>8</v>
      </c>
      <c r="G22">
        <v>0</v>
      </c>
      <c r="H22" s="17">
        <v>0</v>
      </c>
      <c r="I22" s="17">
        <v>0</v>
      </c>
      <c r="J22" s="17">
        <v>0</v>
      </c>
      <c r="K22" s="17"/>
    </row>
    <row r="23" spans="1:11" x14ac:dyDescent="0.25">
      <c r="A23" t="s">
        <v>95</v>
      </c>
      <c r="B23">
        <v>0</v>
      </c>
      <c r="C23">
        <v>0</v>
      </c>
      <c r="D23">
        <v>0</v>
      </c>
      <c r="E23">
        <v>2</v>
      </c>
      <c r="F23">
        <v>2</v>
      </c>
      <c r="G23">
        <v>2</v>
      </c>
      <c r="H23" s="17">
        <v>2</v>
      </c>
      <c r="I23" s="17">
        <v>0</v>
      </c>
      <c r="J23" s="17">
        <v>0</v>
      </c>
      <c r="K23" s="17"/>
    </row>
    <row r="24" spans="1:11" x14ac:dyDescent="0.25">
      <c r="A24" t="s">
        <v>136</v>
      </c>
      <c r="B24">
        <v>0</v>
      </c>
      <c r="C24">
        <v>0</v>
      </c>
      <c r="D24">
        <v>0</v>
      </c>
      <c r="E24">
        <v>0</v>
      </c>
      <c r="F24">
        <v>2</v>
      </c>
      <c r="G24">
        <v>2</v>
      </c>
      <c r="H24" s="17">
        <v>2</v>
      </c>
      <c r="I24" s="17">
        <v>2</v>
      </c>
      <c r="J24" s="17">
        <v>2</v>
      </c>
      <c r="K24" s="17"/>
    </row>
    <row r="25" spans="1:11" x14ac:dyDescent="0.25">
      <c r="A25" t="s">
        <v>145</v>
      </c>
      <c r="B25">
        <v>0</v>
      </c>
      <c r="C25">
        <v>0</v>
      </c>
      <c r="D25">
        <v>0</v>
      </c>
      <c r="E25">
        <v>0</v>
      </c>
      <c r="F25">
        <v>0</v>
      </c>
      <c r="G25">
        <v>6</v>
      </c>
      <c r="H25" s="17">
        <v>6</v>
      </c>
      <c r="I25" s="17">
        <v>6</v>
      </c>
      <c r="J25" s="17">
        <v>6</v>
      </c>
      <c r="K25" s="17"/>
    </row>
    <row r="26" spans="1:11" x14ac:dyDescent="0.25">
      <c r="A26" t="s">
        <v>146</v>
      </c>
      <c r="B26">
        <v>0</v>
      </c>
      <c r="C26">
        <v>0</v>
      </c>
      <c r="D26">
        <v>0</v>
      </c>
      <c r="E26">
        <v>0</v>
      </c>
      <c r="F26">
        <v>0</v>
      </c>
      <c r="G26">
        <v>4</v>
      </c>
      <c r="H26" s="17">
        <v>0</v>
      </c>
      <c r="I26" s="17">
        <v>4</v>
      </c>
      <c r="J26" s="17">
        <v>4</v>
      </c>
      <c r="K26" s="17"/>
    </row>
    <row r="27" spans="1:11" x14ac:dyDescent="0.25">
      <c r="A27" t="s">
        <v>147</v>
      </c>
      <c r="B27">
        <v>0</v>
      </c>
      <c r="C27">
        <v>0</v>
      </c>
      <c r="D27">
        <v>0</v>
      </c>
      <c r="E27">
        <v>0</v>
      </c>
      <c r="F27">
        <v>6</v>
      </c>
      <c r="G27">
        <v>0</v>
      </c>
      <c r="H27" s="17">
        <v>0</v>
      </c>
      <c r="I27" s="17">
        <v>6</v>
      </c>
      <c r="J27" s="17">
        <v>6</v>
      </c>
      <c r="K27" s="17"/>
    </row>
    <row r="28" spans="1:11" x14ac:dyDescent="0.25">
      <c r="B28">
        <f t="shared" ref="B28:J28" si="1">SUM(B21:B27)</f>
        <v>8</v>
      </c>
      <c r="C28">
        <f t="shared" si="1"/>
        <v>16</v>
      </c>
      <c r="D28">
        <f t="shared" si="1"/>
        <v>16</v>
      </c>
      <c r="E28">
        <f t="shared" si="1"/>
        <v>18</v>
      </c>
      <c r="F28">
        <f t="shared" si="1"/>
        <v>18</v>
      </c>
      <c r="G28">
        <f t="shared" si="1"/>
        <v>14</v>
      </c>
      <c r="H28">
        <f t="shared" si="1"/>
        <v>10</v>
      </c>
      <c r="I28">
        <f t="shared" si="1"/>
        <v>18</v>
      </c>
      <c r="J28">
        <f t="shared" si="1"/>
        <v>18</v>
      </c>
      <c r="K28" s="17">
        <f>SUM(B28:J28)</f>
        <v>136</v>
      </c>
    </row>
    <row r="29" spans="1:11" x14ac:dyDescent="0.25">
      <c r="A29" t="s">
        <v>110</v>
      </c>
    </row>
    <row r="30" spans="1:11" x14ac:dyDescent="0.25">
      <c r="A30" t="s">
        <v>111</v>
      </c>
    </row>
    <row r="33" spans="1:7" x14ac:dyDescent="0.25">
      <c r="A33" t="s">
        <v>103</v>
      </c>
      <c r="B33" s="9">
        <v>0.1</v>
      </c>
    </row>
    <row r="34" spans="1:7" x14ac:dyDescent="0.25">
      <c r="A34" t="s">
        <v>104</v>
      </c>
      <c r="B34" s="7">
        <v>20</v>
      </c>
    </row>
    <row r="35" spans="1:7" x14ac:dyDescent="0.25">
      <c r="A35" t="s">
        <v>105</v>
      </c>
      <c r="B35" s="7">
        <v>11.5</v>
      </c>
    </row>
    <row r="36" spans="1:7" x14ac:dyDescent="0.25">
      <c r="A36" t="s">
        <v>19</v>
      </c>
      <c r="B36" s="7">
        <f>Rates!D32</f>
        <v>25.804955527318931</v>
      </c>
    </row>
    <row r="37" spans="1:7" x14ac:dyDescent="0.25">
      <c r="A37" t="s">
        <v>106</v>
      </c>
      <c r="B37" s="7">
        <v>2.0499999999999998</v>
      </c>
    </row>
    <row r="38" spans="1:7" x14ac:dyDescent="0.25">
      <c r="A38" t="s">
        <v>109</v>
      </c>
      <c r="B38" s="7">
        <v>1.25</v>
      </c>
    </row>
    <row r="39" spans="1:7" x14ac:dyDescent="0.25">
      <c r="A39" t="s">
        <v>65</v>
      </c>
      <c r="B39" s="7">
        <v>0.1</v>
      </c>
    </row>
    <row r="40" spans="1:7" x14ac:dyDescent="0.25">
      <c r="F40" t="s">
        <v>108</v>
      </c>
    </row>
    <row r="41" spans="1:7" x14ac:dyDescent="0.25">
      <c r="A41" t="s">
        <v>99</v>
      </c>
      <c r="B41">
        <v>1</v>
      </c>
      <c r="C41" s="7">
        <v>95</v>
      </c>
      <c r="F41" s="7">
        <f>C41</f>
        <v>95</v>
      </c>
    </row>
    <row r="42" spans="1:7" x14ac:dyDescent="0.25">
      <c r="A42" t="s">
        <v>100</v>
      </c>
      <c r="B42">
        <v>1.5</v>
      </c>
      <c r="C42" s="7">
        <f>B42*B34</f>
        <v>30</v>
      </c>
      <c r="F42" s="7">
        <f>C42</f>
        <v>30</v>
      </c>
    </row>
    <row r="43" spans="1:7" x14ac:dyDescent="0.25">
      <c r="A43" t="s">
        <v>17</v>
      </c>
      <c r="B43">
        <v>18</v>
      </c>
      <c r="C43" s="7">
        <f>B36*B43</f>
        <v>464.48919949174075</v>
      </c>
    </row>
    <row r="44" spans="1:7" x14ac:dyDescent="0.25">
      <c r="A44" t="s">
        <v>96</v>
      </c>
      <c r="B44">
        <v>102</v>
      </c>
      <c r="C44" s="7">
        <f>B37*B44</f>
        <v>209.1</v>
      </c>
      <c r="F44" s="7">
        <f>B38*B44</f>
        <v>127.5</v>
      </c>
      <c r="G44" s="7">
        <f>F44/2</f>
        <v>63.75</v>
      </c>
    </row>
    <row r="45" spans="1:7" x14ac:dyDescent="0.25">
      <c r="A45" t="s">
        <v>97</v>
      </c>
      <c r="B45">
        <v>8</v>
      </c>
      <c r="C45" s="7">
        <f>B45*B35</f>
        <v>92</v>
      </c>
    </row>
    <row r="46" spans="1:7" x14ac:dyDescent="0.25">
      <c r="A46" t="s">
        <v>98</v>
      </c>
      <c r="B46">
        <v>8.5</v>
      </c>
      <c r="C46" s="7">
        <f>B46*B34</f>
        <v>170</v>
      </c>
    </row>
    <row r="47" spans="1:7" x14ac:dyDescent="0.25">
      <c r="A47" t="s">
        <v>101</v>
      </c>
      <c r="B47">
        <f>B44*B33</f>
        <v>10.200000000000001</v>
      </c>
      <c r="C47" s="7">
        <f>B47*B34</f>
        <v>204.00000000000003</v>
      </c>
    </row>
    <row r="48" spans="1:7" x14ac:dyDescent="0.25">
      <c r="A48" t="s">
        <v>102</v>
      </c>
      <c r="B48">
        <v>1.5</v>
      </c>
      <c r="C48" s="7">
        <f>B48*B34</f>
        <v>30</v>
      </c>
      <c r="F48" s="7">
        <f>C48</f>
        <v>30</v>
      </c>
    </row>
    <row r="49" spans="1:7" x14ac:dyDescent="0.25">
      <c r="A49" t="s">
        <v>65</v>
      </c>
      <c r="B49">
        <v>700</v>
      </c>
      <c r="C49" s="7">
        <f>B49*B39</f>
        <v>70</v>
      </c>
      <c r="F49" s="7"/>
    </row>
    <row r="50" spans="1:7" x14ac:dyDescent="0.25">
      <c r="C50" s="7">
        <f>SUM(C41:C49)</f>
        <v>1364.5891994917406</v>
      </c>
      <c r="D50" s="7">
        <f>C50</f>
        <v>1364.5891994917406</v>
      </c>
      <c r="F50" s="7">
        <f>SUM(F41:F48)</f>
        <v>282.5</v>
      </c>
      <c r="G50" s="7">
        <f>F50</f>
        <v>282.5</v>
      </c>
    </row>
    <row r="51" spans="1:7" x14ac:dyDescent="0.25">
      <c r="C51" s="7"/>
    </row>
    <row r="52" spans="1:7" x14ac:dyDescent="0.25">
      <c r="A52" t="s">
        <v>107</v>
      </c>
      <c r="B52" s="9">
        <v>0.15</v>
      </c>
      <c r="C52" s="7">
        <f>C50*B52</f>
        <v>204.68837992376109</v>
      </c>
      <c r="D52" s="7">
        <f>C52</f>
        <v>204.68837992376109</v>
      </c>
      <c r="F52" s="7">
        <f>F50*B52</f>
        <v>42.375</v>
      </c>
      <c r="G52" s="7">
        <f>F52</f>
        <v>42.375</v>
      </c>
    </row>
    <row r="53" spans="1:7" x14ac:dyDescent="0.25">
      <c r="D53" s="7">
        <f>SUM(D50:D52)</f>
        <v>1569.2775794155018</v>
      </c>
      <c r="G53" s="7">
        <f>SUM(G50:G52)</f>
        <v>324.875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topLeftCell="E39" workbookViewId="0">
      <selection activeCell="N57" sqref="N57"/>
    </sheetView>
  </sheetViews>
  <sheetFormatPr defaultRowHeight="15" x14ac:dyDescent="0.25"/>
  <cols>
    <col min="1" max="1" width="41.140625" bestFit="1" customWidth="1"/>
    <col min="12" max="12" width="24.5703125" style="18" customWidth="1"/>
    <col min="16" max="16" width="9.7109375" customWidth="1"/>
    <col min="17" max="17" width="12.85546875" customWidth="1"/>
    <col min="18" max="18" width="12" customWidth="1"/>
    <col min="19" max="19" width="10.5703125" customWidth="1"/>
  </cols>
  <sheetData>
    <row r="1" spans="1:20" x14ac:dyDescent="0.25">
      <c r="A1" t="s">
        <v>68</v>
      </c>
      <c r="C1">
        <v>1.5</v>
      </c>
    </row>
    <row r="2" spans="1:20" x14ac:dyDescent="0.25">
      <c r="A2" t="s">
        <v>69</v>
      </c>
      <c r="C2">
        <v>1</v>
      </c>
    </row>
    <row r="3" spans="1:20" x14ac:dyDescent="0.25">
      <c r="A3" t="s">
        <v>70</v>
      </c>
      <c r="C3">
        <v>7</v>
      </c>
    </row>
    <row r="4" spans="1:20" x14ac:dyDescent="0.25">
      <c r="A4" t="s">
        <v>71</v>
      </c>
      <c r="C4">
        <v>1</v>
      </c>
    </row>
    <row r="5" spans="1:20" x14ac:dyDescent="0.25">
      <c r="A5" t="s">
        <v>72</v>
      </c>
      <c r="C5">
        <v>1.5</v>
      </c>
    </row>
    <row r="7" spans="1:20" s="2" customFormat="1" ht="45" x14ac:dyDescent="0.25">
      <c r="B7" s="2" t="s">
        <v>69</v>
      </c>
      <c r="C7" s="2" t="s">
        <v>88</v>
      </c>
      <c r="D7" s="2" t="s">
        <v>89</v>
      </c>
      <c r="E7" s="2" t="s">
        <v>90</v>
      </c>
      <c r="F7" s="2" t="s">
        <v>92</v>
      </c>
      <c r="G7" s="2" t="s">
        <v>141</v>
      </c>
      <c r="L7" s="12"/>
      <c r="M7" s="2" t="s">
        <v>69</v>
      </c>
      <c r="N7" s="2" t="s">
        <v>88</v>
      </c>
      <c r="O7" s="2" t="s">
        <v>236</v>
      </c>
      <c r="P7" s="2" t="s">
        <v>90</v>
      </c>
      <c r="Q7" s="2" t="s">
        <v>238</v>
      </c>
      <c r="R7" s="2" t="s">
        <v>92</v>
      </c>
      <c r="S7" s="2" t="s">
        <v>138</v>
      </c>
      <c r="T7" s="2" t="s">
        <v>141</v>
      </c>
    </row>
    <row r="8" spans="1:20" x14ac:dyDescent="0.25">
      <c r="A8" t="s">
        <v>73</v>
      </c>
      <c r="B8" s="12" t="s">
        <v>91</v>
      </c>
      <c r="C8" s="12" t="s">
        <v>91</v>
      </c>
      <c r="D8" s="12" t="s">
        <v>91</v>
      </c>
      <c r="E8" s="12" t="s">
        <v>91</v>
      </c>
      <c r="F8" s="15">
        <f t="shared" ref="F8:F18" si="0">SUM(B8:E8)</f>
        <v>0</v>
      </c>
      <c r="G8" s="15">
        <v>0</v>
      </c>
      <c r="L8" s="18" t="s">
        <v>235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f t="shared" ref="R8:R19" si="1">SUM(M8:Q8)</f>
        <v>0</v>
      </c>
      <c r="S8" s="25">
        <f>R8</f>
        <v>0</v>
      </c>
      <c r="T8" s="17">
        <v>0</v>
      </c>
    </row>
    <row r="9" spans="1:20" x14ac:dyDescent="0.25">
      <c r="A9" t="s">
        <v>250</v>
      </c>
      <c r="B9">
        <v>6</v>
      </c>
      <c r="C9">
        <v>0</v>
      </c>
      <c r="D9">
        <v>0</v>
      </c>
      <c r="E9">
        <v>0</v>
      </c>
      <c r="F9" s="15">
        <f t="shared" si="0"/>
        <v>6</v>
      </c>
      <c r="G9" s="17">
        <v>0</v>
      </c>
      <c r="L9" s="18" t="s">
        <v>228</v>
      </c>
      <c r="M9" s="24">
        <v>6</v>
      </c>
      <c r="N9" s="24">
        <v>0</v>
      </c>
      <c r="O9" s="24">
        <v>0</v>
      </c>
      <c r="P9" s="24">
        <v>0</v>
      </c>
      <c r="Q9" s="24">
        <v>0</v>
      </c>
      <c r="R9" s="24">
        <f t="shared" si="1"/>
        <v>6</v>
      </c>
      <c r="S9" s="25">
        <f>R9/2</f>
        <v>3</v>
      </c>
      <c r="T9" s="17">
        <v>0</v>
      </c>
    </row>
    <row r="10" spans="1:20" x14ac:dyDescent="0.25">
      <c r="A10" t="s">
        <v>251</v>
      </c>
      <c r="B10">
        <v>0</v>
      </c>
      <c r="C10">
        <v>8</v>
      </c>
      <c r="D10">
        <v>0</v>
      </c>
      <c r="E10">
        <v>0</v>
      </c>
      <c r="F10" s="15">
        <f t="shared" si="0"/>
        <v>8</v>
      </c>
      <c r="G10" s="17">
        <v>2</v>
      </c>
      <c r="L10" s="18" t="s">
        <v>229</v>
      </c>
      <c r="M10" s="24">
        <v>0</v>
      </c>
      <c r="N10" s="24">
        <v>6</v>
      </c>
      <c r="O10" s="24">
        <v>0</v>
      </c>
      <c r="P10" s="24">
        <v>0</v>
      </c>
      <c r="Q10" s="24">
        <v>0</v>
      </c>
      <c r="R10" s="24">
        <f t="shared" si="1"/>
        <v>6</v>
      </c>
      <c r="S10" s="25">
        <f t="shared" ref="S10:S16" si="2">R10</f>
        <v>6</v>
      </c>
      <c r="T10" s="17">
        <v>2</v>
      </c>
    </row>
    <row r="11" spans="1:20" x14ac:dyDescent="0.25">
      <c r="A11" t="s">
        <v>252</v>
      </c>
      <c r="B11">
        <v>0</v>
      </c>
      <c r="C11">
        <v>8</v>
      </c>
      <c r="D11">
        <v>0</v>
      </c>
      <c r="E11">
        <v>0</v>
      </c>
      <c r="F11" s="15">
        <f t="shared" si="0"/>
        <v>8</v>
      </c>
      <c r="G11" s="17">
        <v>2</v>
      </c>
      <c r="L11" s="18" t="s">
        <v>262</v>
      </c>
      <c r="M11" s="24">
        <v>0</v>
      </c>
      <c r="N11" s="24">
        <v>6</v>
      </c>
      <c r="O11" s="24">
        <v>0</v>
      </c>
      <c r="P11" s="24">
        <v>0</v>
      </c>
      <c r="Q11" s="24">
        <v>0</v>
      </c>
      <c r="R11" s="24">
        <f t="shared" si="1"/>
        <v>6</v>
      </c>
      <c r="S11" s="25">
        <f>R11/2</f>
        <v>3</v>
      </c>
      <c r="T11" s="17">
        <v>2</v>
      </c>
    </row>
    <row r="12" spans="1:20" x14ac:dyDescent="0.25">
      <c r="A12" t="s">
        <v>253</v>
      </c>
      <c r="B12">
        <v>0</v>
      </c>
      <c r="C12">
        <v>10</v>
      </c>
      <c r="D12">
        <v>0</v>
      </c>
      <c r="E12">
        <v>0</v>
      </c>
      <c r="F12" s="15">
        <f t="shared" si="0"/>
        <v>10</v>
      </c>
      <c r="G12" s="17">
        <v>2</v>
      </c>
      <c r="L12" s="18" t="s">
        <v>264</v>
      </c>
      <c r="M12" s="24">
        <v>0</v>
      </c>
      <c r="N12" s="24">
        <v>10</v>
      </c>
      <c r="O12" s="24">
        <v>0</v>
      </c>
      <c r="P12" s="24">
        <v>0</v>
      </c>
      <c r="Q12" s="24">
        <v>0</v>
      </c>
      <c r="R12" s="24">
        <f>SUM(M12:Q12)</f>
        <v>10</v>
      </c>
      <c r="S12" s="25">
        <f>R12/2</f>
        <v>5</v>
      </c>
      <c r="T12" s="17">
        <v>2</v>
      </c>
    </row>
    <row r="13" spans="1:20" x14ac:dyDescent="0.25">
      <c r="A13" t="s">
        <v>254</v>
      </c>
      <c r="B13">
        <v>0</v>
      </c>
      <c r="C13">
        <v>10</v>
      </c>
      <c r="D13">
        <v>0</v>
      </c>
      <c r="E13">
        <v>0</v>
      </c>
      <c r="F13" s="15">
        <f t="shared" si="0"/>
        <v>10</v>
      </c>
      <c r="G13" s="17">
        <v>2</v>
      </c>
      <c r="L13" s="18" t="s">
        <v>230</v>
      </c>
      <c r="M13" s="24">
        <v>0</v>
      </c>
      <c r="N13" s="24">
        <v>10</v>
      </c>
      <c r="O13" s="24">
        <v>0</v>
      </c>
      <c r="P13" s="24">
        <v>0</v>
      </c>
      <c r="Q13" s="24">
        <v>0</v>
      </c>
      <c r="R13" s="24">
        <f t="shared" si="1"/>
        <v>10</v>
      </c>
      <c r="S13" s="25">
        <f t="shared" si="2"/>
        <v>10</v>
      </c>
      <c r="T13" s="17">
        <v>2</v>
      </c>
    </row>
    <row r="14" spans="1:20" x14ac:dyDescent="0.25">
      <c r="A14" t="s">
        <v>255</v>
      </c>
      <c r="B14">
        <v>0</v>
      </c>
      <c r="C14">
        <v>4</v>
      </c>
      <c r="D14">
        <v>4</v>
      </c>
      <c r="E14">
        <v>0</v>
      </c>
      <c r="F14" s="15">
        <f t="shared" si="0"/>
        <v>8</v>
      </c>
      <c r="G14" s="17">
        <v>2</v>
      </c>
      <c r="L14" s="18" t="s">
        <v>231</v>
      </c>
      <c r="M14" s="24">
        <v>0</v>
      </c>
      <c r="N14" s="24">
        <v>0</v>
      </c>
      <c r="O14" s="24">
        <v>4</v>
      </c>
      <c r="P14" s="24">
        <v>0</v>
      </c>
      <c r="Q14" s="24">
        <v>0</v>
      </c>
      <c r="R14" s="24">
        <f t="shared" si="1"/>
        <v>4</v>
      </c>
      <c r="S14" s="25">
        <f t="shared" si="2"/>
        <v>4</v>
      </c>
      <c r="T14" s="17">
        <v>2</v>
      </c>
    </row>
    <row r="15" spans="1:20" x14ac:dyDescent="0.25">
      <c r="A15" t="s">
        <v>256</v>
      </c>
      <c r="B15">
        <v>0</v>
      </c>
      <c r="C15">
        <v>0</v>
      </c>
      <c r="D15">
        <v>8</v>
      </c>
      <c r="E15">
        <v>0</v>
      </c>
      <c r="F15" s="15">
        <f t="shared" si="0"/>
        <v>8</v>
      </c>
      <c r="G15" s="17">
        <v>2</v>
      </c>
      <c r="L15" s="18" t="s">
        <v>232</v>
      </c>
      <c r="M15" s="24">
        <v>0</v>
      </c>
      <c r="N15" s="24">
        <v>0</v>
      </c>
      <c r="O15" s="24">
        <v>4</v>
      </c>
      <c r="P15" s="24">
        <v>0</v>
      </c>
      <c r="Q15" s="24">
        <v>0</v>
      </c>
      <c r="R15" s="24">
        <f t="shared" si="1"/>
        <v>4</v>
      </c>
      <c r="S15" s="25">
        <f t="shared" si="2"/>
        <v>4</v>
      </c>
      <c r="T15" s="17">
        <v>2</v>
      </c>
    </row>
    <row r="16" spans="1:20" x14ac:dyDescent="0.25">
      <c r="A16" t="s">
        <v>257</v>
      </c>
      <c r="B16">
        <v>0</v>
      </c>
      <c r="C16">
        <v>0</v>
      </c>
      <c r="D16">
        <v>0</v>
      </c>
      <c r="E16">
        <v>10</v>
      </c>
      <c r="F16" s="15">
        <f t="shared" si="0"/>
        <v>10</v>
      </c>
      <c r="G16" s="17">
        <v>2</v>
      </c>
      <c r="L16" s="18" t="s">
        <v>233</v>
      </c>
      <c r="M16" s="24">
        <v>0</v>
      </c>
      <c r="N16" s="24">
        <v>0</v>
      </c>
      <c r="O16" s="24">
        <v>0</v>
      </c>
      <c r="P16" s="24">
        <v>12</v>
      </c>
      <c r="Q16" s="24">
        <v>0</v>
      </c>
      <c r="R16" s="24">
        <f t="shared" si="1"/>
        <v>12</v>
      </c>
      <c r="S16" s="25">
        <f t="shared" si="2"/>
        <v>12</v>
      </c>
      <c r="T16" s="17">
        <v>2</v>
      </c>
    </row>
    <row r="17" spans="1:23" x14ac:dyDescent="0.25">
      <c r="A17" t="s">
        <v>82</v>
      </c>
      <c r="B17">
        <v>0</v>
      </c>
      <c r="C17">
        <v>0</v>
      </c>
      <c r="D17">
        <v>0</v>
      </c>
      <c r="E17">
        <v>0</v>
      </c>
      <c r="F17" s="15">
        <f t="shared" si="0"/>
        <v>0</v>
      </c>
      <c r="G17" s="17">
        <v>0</v>
      </c>
      <c r="L17" s="18" t="s">
        <v>234</v>
      </c>
      <c r="M17" s="24">
        <v>0</v>
      </c>
      <c r="N17" s="24">
        <v>0</v>
      </c>
      <c r="O17" s="24">
        <v>0</v>
      </c>
      <c r="P17" s="24">
        <v>12</v>
      </c>
      <c r="Q17" s="24">
        <v>0</v>
      </c>
      <c r="R17" s="24">
        <f t="shared" si="1"/>
        <v>12</v>
      </c>
      <c r="S17" s="25">
        <f>R17/2</f>
        <v>6</v>
      </c>
      <c r="T17" s="17">
        <v>2</v>
      </c>
    </row>
    <row r="18" spans="1:23" x14ac:dyDescent="0.25">
      <c r="A18" t="s">
        <v>87</v>
      </c>
      <c r="B18">
        <v>0</v>
      </c>
      <c r="C18">
        <v>0</v>
      </c>
      <c r="D18">
        <v>0</v>
      </c>
      <c r="E18">
        <v>0</v>
      </c>
      <c r="F18" s="15">
        <f t="shared" si="0"/>
        <v>0</v>
      </c>
      <c r="G18" s="17">
        <v>0</v>
      </c>
      <c r="L18" s="18" t="s">
        <v>237</v>
      </c>
      <c r="M18" s="24">
        <v>0</v>
      </c>
      <c r="N18" s="24">
        <v>0</v>
      </c>
      <c r="O18" s="24">
        <v>0</v>
      </c>
      <c r="P18" s="24">
        <v>0</v>
      </c>
      <c r="Q18" s="24">
        <v>6</v>
      </c>
      <c r="R18" s="24">
        <f t="shared" si="1"/>
        <v>6</v>
      </c>
      <c r="S18" s="25">
        <f>R18/2</f>
        <v>3</v>
      </c>
      <c r="T18" s="17">
        <v>0</v>
      </c>
    </row>
    <row r="19" spans="1:23" x14ac:dyDescent="0.25">
      <c r="F19" s="15">
        <f>SUM(F8:F18)</f>
        <v>68</v>
      </c>
      <c r="L19" s="18" t="s">
        <v>239</v>
      </c>
      <c r="M19" s="24">
        <v>0</v>
      </c>
      <c r="N19" s="24">
        <v>0</v>
      </c>
      <c r="O19" s="24">
        <v>0</v>
      </c>
      <c r="P19" s="24">
        <v>0</v>
      </c>
      <c r="Q19" s="16" t="s">
        <v>91</v>
      </c>
      <c r="R19" s="24">
        <f t="shared" si="1"/>
        <v>0</v>
      </c>
      <c r="S19" s="25">
        <f>R19</f>
        <v>0</v>
      </c>
      <c r="T19" s="17">
        <v>0</v>
      </c>
    </row>
    <row r="20" spans="1:23" x14ac:dyDescent="0.25">
      <c r="F20" s="15"/>
      <c r="Q20" s="17"/>
      <c r="R20" s="17"/>
      <c r="S20" s="8">
        <f>SUM(S8:S19)</f>
        <v>56</v>
      </c>
    </row>
    <row r="21" spans="1:23" x14ac:dyDescent="0.25">
      <c r="F21" s="15"/>
      <c r="Q21" s="17"/>
      <c r="R21" s="17"/>
      <c r="S21" s="8"/>
    </row>
    <row r="22" spans="1:23" x14ac:dyDescent="0.25">
      <c r="B22" s="21" t="s">
        <v>74</v>
      </c>
      <c r="C22" s="21" t="s">
        <v>75</v>
      </c>
      <c r="D22" s="21" t="s">
        <v>76</v>
      </c>
      <c r="E22" s="21" t="s">
        <v>77</v>
      </c>
      <c r="F22" s="23" t="s">
        <v>78</v>
      </c>
      <c r="G22" s="21" t="s">
        <v>79</v>
      </c>
      <c r="H22" s="21" t="s">
        <v>142</v>
      </c>
      <c r="I22" s="21" t="s">
        <v>143</v>
      </c>
      <c r="J22" s="21" t="s">
        <v>144</v>
      </c>
      <c r="Q22" s="17"/>
    </row>
    <row r="23" spans="1:23" x14ac:dyDescent="0.25">
      <c r="B23" t="s">
        <v>75</v>
      </c>
      <c r="C23" t="s">
        <v>76</v>
      </c>
      <c r="D23" t="s">
        <v>77</v>
      </c>
      <c r="E23" t="s">
        <v>78</v>
      </c>
      <c r="F23" s="2" t="s">
        <v>220</v>
      </c>
      <c r="G23" t="s">
        <v>80</v>
      </c>
      <c r="H23" t="s">
        <v>143</v>
      </c>
      <c r="I23" t="s">
        <v>144</v>
      </c>
      <c r="J23" t="s">
        <v>221</v>
      </c>
      <c r="M23" s="21" t="s">
        <v>75</v>
      </c>
      <c r="N23" s="21" t="s">
        <v>212</v>
      </c>
      <c r="O23" s="21" t="s">
        <v>213</v>
      </c>
      <c r="P23" s="21" t="s">
        <v>263</v>
      </c>
      <c r="Q23" s="21" t="s">
        <v>78</v>
      </c>
      <c r="R23" s="17" t="s">
        <v>222</v>
      </c>
      <c r="S23" s="21" t="s">
        <v>223</v>
      </c>
      <c r="T23" s="21" t="s">
        <v>224</v>
      </c>
      <c r="U23" s="21" t="s">
        <v>217</v>
      </c>
      <c r="V23" s="21" t="s">
        <v>240</v>
      </c>
      <c r="W23" s="21" t="s">
        <v>226</v>
      </c>
    </row>
    <row r="24" spans="1:23" x14ac:dyDescent="0.25">
      <c r="A24" t="s">
        <v>150</v>
      </c>
      <c r="B24" s="17">
        <v>6</v>
      </c>
      <c r="C24" s="17">
        <v>6</v>
      </c>
      <c r="D24" s="17">
        <v>6</v>
      </c>
      <c r="E24" s="17">
        <v>6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M24" t="s">
        <v>212</v>
      </c>
      <c r="N24" t="s">
        <v>213</v>
      </c>
      <c r="O24" t="s">
        <v>263</v>
      </c>
      <c r="P24" t="s">
        <v>78</v>
      </c>
      <c r="Q24" t="s">
        <v>222</v>
      </c>
      <c r="R24" s="17" t="s">
        <v>223</v>
      </c>
      <c r="S24" t="s">
        <v>224</v>
      </c>
      <c r="T24" t="s">
        <v>225</v>
      </c>
      <c r="U24" t="s">
        <v>240</v>
      </c>
      <c r="V24" t="s">
        <v>226</v>
      </c>
      <c r="W24" t="s">
        <v>241</v>
      </c>
    </row>
    <row r="25" spans="1:23" x14ac:dyDescent="0.25">
      <c r="A25" t="s">
        <v>94</v>
      </c>
      <c r="B25" s="17">
        <v>0</v>
      </c>
      <c r="C25" s="17">
        <v>2</v>
      </c>
      <c r="D25" s="17">
        <v>2</v>
      </c>
      <c r="E25" s="17">
        <v>2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L25" s="18" t="s">
        <v>150</v>
      </c>
      <c r="M25" s="17">
        <v>4</v>
      </c>
      <c r="N25" s="17">
        <v>4</v>
      </c>
      <c r="O25" s="17">
        <v>4</v>
      </c>
      <c r="P25" s="17">
        <v>4</v>
      </c>
      <c r="Q25" s="17">
        <v>4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</row>
    <row r="26" spans="1:23" x14ac:dyDescent="0.25">
      <c r="A26" t="s">
        <v>95</v>
      </c>
      <c r="B26" s="17">
        <v>0</v>
      </c>
      <c r="C26" s="17">
        <v>0</v>
      </c>
      <c r="D26" s="17">
        <v>0</v>
      </c>
      <c r="E26" s="17">
        <v>0</v>
      </c>
      <c r="F26" s="17">
        <v>2</v>
      </c>
      <c r="G26" s="17">
        <v>0</v>
      </c>
      <c r="H26" s="17">
        <v>2</v>
      </c>
      <c r="I26" s="17">
        <v>2</v>
      </c>
      <c r="J26" s="17">
        <v>2</v>
      </c>
      <c r="L26" s="18" t="s">
        <v>94</v>
      </c>
      <c r="M26" s="17">
        <v>0</v>
      </c>
      <c r="N26" s="17">
        <v>0</v>
      </c>
      <c r="O26" s="17">
        <v>0</v>
      </c>
      <c r="P26" s="17">
        <v>2</v>
      </c>
      <c r="Q26" s="17">
        <v>0</v>
      </c>
      <c r="R26" s="17">
        <v>2</v>
      </c>
      <c r="S26" s="17">
        <v>2</v>
      </c>
      <c r="T26" s="17">
        <v>2</v>
      </c>
      <c r="U26" s="17">
        <v>2</v>
      </c>
      <c r="V26" s="17">
        <v>0</v>
      </c>
      <c r="W26" s="17">
        <v>0</v>
      </c>
    </row>
    <row r="27" spans="1:23" x14ac:dyDescent="0.25">
      <c r="A27" t="s">
        <v>136</v>
      </c>
      <c r="B27" s="17">
        <v>0</v>
      </c>
      <c r="C27" s="17">
        <v>0</v>
      </c>
      <c r="D27" s="17">
        <v>0</v>
      </c>
      <c r="E27" s="17">
        <v>0</v>
      </c>
      <c r="F27" s="17">
        <v>2</v>
      </c>
      <c r="G27" s="17">
        <v>2</v>
      </c>
      <c r="H27" s="17">
        <v>2</v>
      </c>
      <c r="I27" s="17">
        <v>0</v>
      </c>
      <c r="J27" s="17">
        <v>2</v>
      </c>
      <c r="L27" s="18" t="s">
        <v>95</v>
      </c>
      <c r="M27" s="17">
        <v>0</v>
      </c>
      <c r="N27" s="17">
        <v>0</v>
      </c>
      <c r="O27" s="17">
        <v>0</v>
      </c>
      <c r="P27" s="17">
        <v>0</v>
      </c>
      <c r="Q27" s="17">
        <v>2</v>
      </c>
      <c r="R27" s="17">
        <v>0</v>
      </c>
      <c r="S27" s="17">
        <v>0</v>
      </c>
      <c r="T27" s="17">
        <v>2</v>
      </c>
      <c r="U27" s="17">
        <v>2</v>
      </c>
      <c r="V27" s="17">
        <v>2</v>
      </c>
      <c r="W27" s="17">
        <v>0</v>
      </c>
    </row>
    <row r="28" spans="1:23" x14ac:dyDescent="0.25">
      <c r="A28" t="s">
        <v>145</v>
      </c>
      <c r="B28" s="17">
        <v>0</v>
      </c>
      <c r="C28" s="17">
        <v>0</v>
      </c>
      <c r="D28" s="17">
        <v>0</v>
      </c>
      <c r="E28" s="17">
        <v>0</v>
      </c>
      <c r="F28" s="17">
        <v>2</v>
      </c>
      <c r="G28" s="17">
        <v>2</v>
      </c>
      <c r="H28" s="17">
        <v>0</v>
      </c>
      <c r="I28" s="17">
        <v>2</v>
      </c>
      <c r="J28" s="17">
        <v>0</v>
      </c>
      <c r="L28" s="18" t="s">
        <v>136</v>
      </c>
      <c r="M28" s="17">
        <v>0</v>
      </c>
      <c r="N28" s="17">
        <v>0</v>
      </c>
      <c r="O28" s="17">
        <v>0</v>
      </c>
      <c r="P28" s="17">
        <v>0</v>
      </c>
      <c r="Q28" s="17">
        <v>2</v>
      </c>
      <c r="R28" s="17">
        <v>0</v>
      </c>
      <c r="S28" s="17">
        <v>2</v>
      </c>
      <c r="T28" s="17">
        <v>2</v>
      </c>
      <c r="U28" s="17">
        <v>2</v>
      </c>
      <c r="V28" s="17">
        <v>2</v>
      </c>
      <c r="W28" s="17">
        <v>0</v>
      </c>
    </row>
    <row r="29" spans="1:23" x14ac:dyDescent="0.25">
      <c r="B29" s="17">
        <v>0</v>
      </c>
      <c r="C29" s="17">
        <v>0</v>
      </c>
      <c r="D29" s="17">
        <v>0</v>
      </c>
      <c r="E29" s="17">
        <v>0</v>
      </c>
      <c r="F29" s="17">
        <v>2</v>
      </c>
      <c r="G29" s="17">
        <v>0</v>
      </c>
      <c r="H29" s="17">
        <v>2</v>
      </c>
      <c r="I29" s="17">
        <v>2</v>
      </c>
      <c r="J29" s="17">
        <v>0</v>
      </c>
      <c r="L29" s="18" t="s">
        <v>145</v>
      </c>
      <c r="M29" s="17">
        <v>0</v>
      </c>
      <c r="N29" s="17">
        <v>0</v>
      </c>
      <c r="O29" s="17">
        <v>0</v>
      </c>
      <c r="P29" s="17">
        <v>0</v>
      </c>
      <c r="Q29" s="17">
        <v>2</v>
      </c>
      <c r="R29" s="17">
        <v>0</v>
      </c>
      <c r="S29" s="17">
        <v>0</v>
      </c>
      <c r="T29" s="17">
        <v>2</v>
      </c>
      <c r="U29" s="17">
        <v>2</v>
      </c>
      <c r="V29" s="17">
        <v>2</v>
      </c>
      <c r="W29" s="17">
        <v>0</v>
      </c>
    </row>
    <row r="30" spans="1:23" x14ac:dyDescent="0.25">
      <c r="B30" s="17">
        <v>0</v>
      </c>
      <c r="C30" s="17">
        <v>0</v>
      </c>
      <c r="D30" s="17">
        <v>0</v>
      </c>
      <c r="E30" s="17">
        <v>2</v>
      </c>
      <c r="F30" s="17">
        <v>0</v>
      </c>
      <c r="G30" s="17">
        <v>2</v>
      </c>
      <c r="H30" s="17">
        <v>0</v>
      </c>
      <c r="I30" s="17">
        <v>2</v>
      </c>
      <c r="J30" s="17">
        <v>0</v>
      </c>
      <c r="L30" s="18" t="s">
        <v>146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2</v>
      </c>
      <c r="S30" s="17">
        <v>0</v>
      </c>
      <c r="T30" s="17">
        <v>2</v>
      </c>
      <c r="U30" s="17">
        <v>2</v>
      </c>
      <c r="V30" s="17">
        <v>0</v>
      </c>
      <c r="W30" s="17">
        <v>0</v>
      </c>
    </row>
    <row r="31" spans="1:23" x14ac:dyDescent="0.25">
      <c r="A31" t="s">
        <v>146</v>
      </c>
      <c r="B31" s="17">
        <v>0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0</v>
      </c>
      <c r="I31" s="17">
        <v>2</v>
      </c>
      <c r="J31" s="17">
        <v>2</v>
      </c>
      <c r="L31" s="18" t="s">
        <v>147</v>
      </c>
      <c r="M31" s="17">
        <v>0</v>
      </c>
      <c r="N31" s="17">
        <v>0</v>
      </c>
      <c r="O31" s="17">
        <v>0</v>
      </c>
      <c r="P31" s="17">
        <v>2</v>
      </c>
      <c r="Q31" s="17">
        <v>0</v>
      </c>
      <c r="R31" s="17">
        <v>0</v>
      </c>
      <c r="S31" s="17">
        <v>0</v>
      </c>
      <c r="T31" s="17">
        <v>2</v>
      </c>
      <c r="U31" s="17">
        <v>2</v>
      </c>
      <c r="V31" s="17">
        <v>0</v>
      </c>
      <c r="W31" s="17">
        <v>0</v>
      </c>
    </row>
    <row r="32" spans="1:23" x14ac:dyDescent="0.25">
      <c r="B32" s="8">
        <f t="shared" ref="B32:I32" si="3">SUM(B24:B31)</f>
        <v>6</v>
      </c>
      <c r="C32" s="8">
        <f t="shared" si="3"/>
        <v>8</v>
      </c>
      <c r="D32" s="8">
        <f t="shared" si="3"/>
        <v>8</v>
      </c>
      <c r="E32" s="8">
        <f t="shared" si="3"/>
        <v>10</v>
      </c>
      <c r="F32" s="8">
        <f t="shared" si="3"/>
        <v>10</v>
      </c>
      <c r="G32" s="8">
        <f t="shared" si="3"/>
        <v>6</v>
      </c>
      <c r="H32" s="8">
        <f t="shared" si="3"/>
        <v>6</v>
      </c>
      <c r="I32" s="8">
        <f t="shared" si="3"/>
        <v>10</v>
      </c>
      <c r="J32" s="8">
        <f>SUM(J24:J31)/2</f>
        <v>3</v>
      </c>
      <c r="K32" s="8">
        <f>SUM(B32:J32)</f>
        <v>67</v>
      </c>
      <c r="L32" s="18" t="s">
        <v>243</v>
      </c>
      <c r="M32" s="17">
        <v>2</v>
      </c>
      <c r="N32" s="17">
        <v>2</v>
      </c>
      <c r="O32" s="17">
        <v>2</v>
      </c>
      <c r="P32" s="17">
        <v>2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</row>
    <row r="33" spans="1:24" x14ac:dyDescent="0.25">
      <c r="L33" s="18" t="s">
        <v>92</v>
      </c>
      <c r="M33" s="17">
        <f t="shared" ref="M33:W33" si="4">SUM(M25:M32)</f>
        <v>6</v>
      </c>
      <c r="N33" s="17">
        <f t="shared" si="4"/>
        <v>6</v>
      </c>
      <c r="O33" s="17">
        <f t="shared" si="4"/>
        <v>6</v>
      </c>
      <c r="P33" s="17">
        <f t="shared" si="4"/>
        <v>10</v>
      </c>
      <c r="Q33" s="17">
        <f t="shared" si="4"/>
        <v>10</v>
      </c>
      <c r="R33" s="17">
        <f t="shared" si="4"/>
        <v>4</v>
      </c>
      <c r="S33" s="17">
        <f t="shared" si="4"/>
        <v>4</v>
      </c>
      <c r="T33" s="17">
        <f t="shared" si="4"/>
        <v>12</v>
      </c>
      <c r="U33" s="17">
        <f t="shared" si="4"/>
        <v>12</v>
      </c>
      <c r="V33" s="17">
        <f t="shared" si="4"/>
        <v>6</v>
      </c>
      <c r="W33" s="17">
        <f t="shared" si="4"/>
        <v>0</v>
      </c>
    </row>
    <row r="34" spans="1:24" x14ac:dyDescent="0.25">
      <c r="A34" t="s">
        <v>178</v>
      </c>
      <c r="L34" s="18" t="s">
        <v>138</v>
      </c>
      <c r="M34" s="8">
        <f>M33/2</f>
        <v>3</v>
      </c>
      <c r="N34" s="8">
        <f t="shared" ref="N34:T34" si="5">N33</f>
        <v>6</v>
      </c>
      <c r="O34" s="8">
        <f>O33/2</f>
        <v>3</v>
      </c>
      <c r="P34" s="8">
        <f t="shared" si="5"/>
        <v>10</v>
      </c>
      <c r="Q34" s="8">
        <f>Q33/2</f>
        <v>5</v>
      </c>
      <c r="R34" s="8">
        <f t="shared" si="5"/>
        <v>4</v>
      </c>
      <c r="S34" s="8">
        <f t="shared" si="5"/>
        <v>4</v>
      </c>
      <c r="T34" s="8">
        <f t="shared" si="5"/>
        <v>12</v>
      </c>
      <c r="U34" s="8">
        <f>U33/2</f>
        <v>6</v>
      </c>
      <c r="V34" s="8">
        <f>V33/2</f>
        <v>3</v>
      </c>
      <c r="W34" s="8">
        <f>W33</f>
        <v>0</v>
      </c>
      <c r="X34" s="8">
        <f>SUM(M33:W33)</f>
        <v>76</v>
      </c>
    </row>
    <row r="35" spans="1:24" x14ac:dyDescent="0.25">
      <c r="A35" t="s">
        <v>151</v>
      </c>
      <c r="M35" s="8"/>
      <c r="N35" s="8"/>
      <c r="O35" s="8"/>
      <c r="P35" s="8"/>
      <c r="Q35" s="23"/>
      <c r="R35" s="8"/>
      <c r="S35" s="8"/>
      <c r="T35" s="8"/>
      <c r="U35" s="8"/>
    </row>
    <row r="36" spans="1:24" x14ac:dyDescent="0.25">
      <c r="Q36" s="2"/>
    </row>
    <row r="37" spans="1:24" x14ac:dyDescent="0.25">
      <c r="Q37" s="17"/>
    </row>
    <row r="38" spans="1:24" x14ac:dyDescent="0.25">
      <c r="A38" t="s">
        <v>103</v>
      </c>
      <c r="B38" s="20">
        <v>0.05</v>
      </c>
      <c r="Q38" s="17"/>
    </row>
    <row r="39" spans="1:24" x14ac:dyDescent="0.25">
      <c r="A39" t="s">
        <v>104</v>
      </c>
      <c r="B39" s="7">
        <v>20</v>
      </c>
      <c r="Q39" s="17"/>
    </row>
    <row r="40" spans="1:24" x14ac:dyDescent="0.25">
      <c r="A40" t="s">
        <v>242</v>
      </c>
      <c r="B40" s="7">
        <v>11.5</v>
      </c>
      <c r="Q40" s="17"/>
    </row>
    <row r="41" spans="1:24" x14ac:dyDescent="0.25">
      <c r="A41" t="s">
        <v>19</v>
      </c>
      <c r="B41" s="7">
        <f>Rates!D32</f>
        <v>25.804955527318931</v>
      </c>
      <c r="Q41" s="17"/>
    </row>
    <row r="42" spans="1:24" x14ac:dyDescent="0.25">
      <c r="A42" t="s">
        <v>106</v>
      </c>
      <c r="B42" s="7">
        <v>2.0499999999999998</v>
      </c>
      <c r="Q42" s="17"/>
    </row>
    <row r="43" spans="1:24" x14ac:dyDescent="0.25">
      <c r="A43" t="s">
        <v>249</v>
      </c>
      <c r="B43" s="7">
        <v>1.25</v>
      </c>
      <c r="C43" s="7">
        <v>5</v>
      </c>
      <c r="Q43" s="17"/>
    </row>
    <row r="44" spans="1:24" x14ac:dyDescent="0.25">
      <c r="A44" t="s">
        <v>247</v>
      </c>
      <c r="B44" s="7">
        <f>0.3</f>
        <v>0.3</v>
      </c>
      <c r="Q44" s="17"/>
    </row>
    <row r="45" spans="1:24" x14ac:dyDescent="0.25">
      <c r="A45" t="s">
        <v>248</v>
      </c>
      <c r="B45" s="7">
        <v>0.5</v>
      </c>
      <c r="Q45" s="17"/>
    </row>
    <row r="46" spans="1:24" x14ac:dyDescent="0.25">
      <c r="A46" t="s">
        <v>179</v>
      </c>
      <c r="B46" s="7">
        <v>0.1</v>
      </c>
      <c r="Q46" s="17"/>
    </row>
    <row r="47" spans="1:24" x14ac:dyDescent="0.25">
      <c r="A47" t="s">
        <v>214</v>
      </c>
      <c r="B47" s="7">
        <v>2.4500000000000002</v>
      </c>
      <c r="Q47" s="8"/>
    </row>
    <row r="48" spans="1:24" x14ac:dyDescent="0.25">
      <c r="B48" s="7"/>
      <c r="Q48" s="8"/>
    </row>
    <row r="49" spans="1:24" s="2" customFormat="1" ht="60" x14ac:dyDescent="0.25">
      <c r="F49" s="2" t="s">
        <v>108</v>
      </c>
      <c r="G49" s="2" t="s">
        <v>227</v>
      </c>
      <c r="L49" s="18"/>
      <c r="M49"/>
      <c r="N49"/>
      <c r="O49"/>
      <c r="P49"/>
      <c r="Q49"/>
      <c r="R49"/>
      <c r="S49"/>
      <c r="T49"/>
      <c r="U49"/>
      <c r="V49"/>
      <c r="W49"/>
      <c r="X49"/>
    </row>
    <row r="50" spans="1:24" ht="60" x14ac:dyDescent="0.25">
      <c r="A50" t="s">
        <v>99</v>
      </c>
      <c r="B50">
        <v>1</v>
      </c>
      <c r="C50" s="7">
        <v>95</v>
      </c>
      <c r="F50" s="7">
        <f>C50</f>
        <v>95</v>
      </c>
      <c r="L50" s="12"/>
      <c r="M50" s="2"/>
      <c r="N50" s="2"/>
      <c r="O50" s="2"/>
      <c r="P50" s="2"/>
      <c r="Q50" s="2" t="s">
        <v>108</v>
      </c>
      <c r="R50" s="2" t="s">
        <v>227</v>
      </c>
      <c r="S50" s="2"/>
      <c r="T50" s="2"/>
      <c r="U50" s="2"/>
    </row>
    <row r="51" spans="1:24" x14ac:dyDescent="0.25">
      <c r="A51" t="s">
        <v>100</v>
      </c>
      <c r="B51">
        <v>1.5</v>
      </c>
      <c r="C51" s="7">
        <f>B51*B39</f>
        <v>30</v>
      </c>
      <c r="F51" s="7">
        <f>C51</f>
        <v>30</v>
      </c>
      <c r="M51" s="8">
        <v>1</v>
      </c>
      <c r="N51" s="7">
        <v>95</v>
      </c>
      <c r="Q51" s="7">
        <f>N51</f>
        <v>95</v>
      </c>
    </row>
    <row r="52" spans="1:24" x14ac:dyDescent="0.25">
      <c r="A52" t="s">
        <v>17</v>
      </c>
      <c r="B52">
        <v>12</v>
      </c>
      <c r="C52" s="7">
        <f>B41*B52</f>
        <v>309.6594663278272</v>
      </c>
      <c r="F52" s="7">
        <f>B52*B47</f>
        <v>29.400000000000002</v>
      </c>
      <c r="M52" s="8">
        <v>1.5</v>
      </c>
      <c r="N52" s="7">
        <f>M52*B39</f>
        <v>30</v>
      </c>
      <c r="Q52" s="7">
        <f>N52</f>
        <v>30</v>
      </c>
    </row>
    <row r="53" spans="1:24" x14ac:dyDescent="0.25">
      <c r="A53" t="s">
        <v>30</v>
      </c>
      <c r="B53" s="17">
        <v>20</v>
      </c>
      <c r="C53" s="7">
        <f>C43*B53</f>
        <v>100</v>
      </c>
      <c r="E53" s="9">
        <v>0.5</v>
      </c>
      <c r="F53" s="7">
        <f>C53*E53</f>
        <v>50</v>
      </c>
      <c r="G53" s="7">
        <f>F53/2</f>
        <v>25</v>
      </c>
      <c r="M53" s="8">
        <v>12</v>
      </c>
      <c r="N53" s="7">
        <f>B41*M53</f>
        <v>309.6594663278272</v>
      </c>
      <c r="Q53" s="7">
        <f>M53*B47</f>
        <v>29.400000000000002</v>
      </c>
    </row>
    <row r="54" spans="1:24" x14ac:dyDescent="0.25">
      <c r="A54" t="s">
        <v>245</v>
      </c>
      <c r="B54" s="17">
        <f>B53</f>
        <v>20</v>
      </c>
      <c r="C54" s="7">
        <f>B54*B44</f>
        <v>6</v>
      </c>
      <c r="F54" s="7"/>
      <c r="G54" s="7"/>
      <c r="M54" s="8">
        <v>16</v>
      </c>
      <c r="N54" s="7">
        <f>M54*C43</f>
        <v>80</v>
      </c>
      <c r="P54" s="9">
        <v>0.75</v>
      </c>
      <c r="Q54" s="7">
        <f>P54*N54</f>
        <v>60</v>
      </c>
      <c r="R54" s="7">
        <f>Q54/2</f>
        <v>30</v>
      </c>
    </row>
    <row r="55" spans="1:24" x14ac:dyDescent="0.25">
      <c r="A55" t="s">
        <v>246</v>
      </c>
      <c r="B55" s="17">
        <f>B54</f>
        <v>20</v>
      </c>
      <c r="C55" s="7">
        <f>B55*B45</f>
        <v>10</v>
      </c>
      <c r="F55" s="7"/>
      <c r="G55" s="7"/>
      <c r="M55" s="8">
        <f>X34</f>
        <v>76</v>
      </c>
      <c r="N55" s="7">
        <f>M55*B44</f>
        <v>22.8</v>
      </c>
      <c r="P55" s="9"/>
      <c r="Q55" s="7"/>
      <c r="R55" s="7"/>
    </row>
    <row r="56" spans="1:24" x14ac:dyDescent="0.25">
      <c r="A56" t="s">
        <v>97</v>
      </c>
      <c r="B56">
        <v>8.5</v>
      </c>
      <c r="C56" s="7">
        <f>B56*B40</f>
        <v>97.75</v>
      </c>
      <c r="E56" s="8">
        <v>0</v>
      </c>
      <c r="F56" s="7">
        <f>E56*B40</f>
        <v>0</v>
      </c>
      <c r="M56" s="8">
        <f>M55</f>
        <v>76</v>
      </c>
      <c r="N56" s="7">
        <f>M56*B45</f>
        <v>38</v>
      </c>
      <c r="P56" s="7">
        <v>0.5</v>
      </c>
      <c r="Q56" s="7">
        <f>M56*P56</f>
        <v>38</v>
      </c>
      <c r="R56" s="7"/>
    </row>
    <row r="57" spans="1:24" x14ac:dyDescent="0.25">
      <c r="A57" t="s">
        <v>98</v>
      </c>
      <c r="B57">
        <v>8.5</v>
      </c>
      <c r="C57" s="7">
        <f>B57*B39</f>
        <v>170</v>
      </c>
      <c r="E57" s="8">
        <v>0</v>
      </c>
      <c r="F57" s="7">
        <f>E57*B39</f>
        <v>0</v>
      </c>
      <c r="M57" s="8">
        <v>8.5</v>
      </c>
      <c r="N57" s="7">
        <f>M57*B40</f>
        <v>97.75</v>
      </c>
      <c r="P57" s="8">
        <v>1</v>
      </c>
      <c r="Q57" s="7">
        <f>P57*B39</f>
        <v>20</v>
      </c>
    </row>
    <row r="58" spans="1:24" x14ac:dyDescent="0.25">
      <c r="A58" t="s">
        <v>101</v>
      </c>
      <c r="B58">
        <f>B53*B38</f>
        <v>1</v>
      </c>
      <c r="C58" s="7">
        <f>B58*B39</f>
        <v>20</v>
      </c>
      <c r="M58" s="8">
        <v>8.5</v>
      </c>
      <c r="N58" s="7">
        <f>M58*B39</f>
        <v>170</v>
      </c>
      <c r="P58" s="8">
        <v>1</v>
      </c>
      <c r="Q58" s="7">
        <f>P58*B40</f>
        <v>11.5</v>
      </c>
    </row>
    <row r="59" spans="1:24" x14ac:dyDescent="0.25">
      <c r="A59" t="s">
        <v>102</v>
      </c>
      <c r="B59">
        <v>1.5</v>
      </c>
      <c r="C59" s="7">
        <f>B59*B39</f>
        <v>30</v>
      </c>
      <c r="F59" s="7">
        <f>C59</f>
        <v>30</v>
      </c>
      <c r="M59" s="8">
        <f>X34*B38</f>
        <v>3.8000000000000003</v>
      </c>
      <c r="N59" s="7">
        <f>M59*B39</f>
        <v>76</v>
      </c>
    </row>
    <row r="60" spans="1:24" x14ac:dyDescent="0.25">
      <c r="A60" t="s">
        <v>244</v>
      </c>
      <c r="B60" s="8">
        <v>1</v>
      </c>
      <c r="C60" s="7">
        <f>B60*B39</f>
        <v>20</v>
      </c>
      <c r="F60" s="7"/>
      <c r="M60" s="8">
        <v>1.5</v>
      </c>
      <c r="N60" s="7">
        <f>M60*B39</f>
        <v>30</v>
      </c>
      <c r="Q60" s="7">
        <f>N60</f>
        <v>30</v>
      </c>
    </row>
    <row r="61" spans="1:24" x14ac:dyDescent="0.25">
      <c r="A61" t="s">
        <v>65</v>
      </c>
      <c r="B61">
        <v>500</v>
      </c>
      <c r="C61" s="7">
        <f>B46*B61</f>
        <v>50</v>
      </c>
      <c r="F61" s="7"/>
      <c r="M61" s="8">
        <v>1</v>
      </c>
      <c r="N61" s="7">
        <f>M61*B39</f>
        <v>20</v>
      </c>
      <c r="Q61" s="7"/>
    </row>
    <row r="62" spans="1:24" x14ac:dyDescent="0.25">
      <c r="C62" s="7">
        <f>SUM(C50:C61)</f>
        <v>938.4094663278272</v>
      </c>
      <c r="D62" s="7">
        <f>C62</f>
        <v>938.4094663278272</v>
      </c>
      <c r="F62" s="7">
        <f>SUM(F50:F59)</f>
        <v>234.4</v>
      </c>
      <c r="G62" s="7"/>
      <c r="M62" s="8">
        <v>400</v>
      </c>
      <c r="N62" s="7">
        <f>M62*B46</f>
        <v>40</v>
      </c>
    </row>
    <row r="63" spans="1:24" x14ac:dyDescent="0.25">
      <c r="C63" s="7"/>
      <c r="N63" s="7">
        <f>SUM(N51:N62)</f>
        <v>1009.2094663278272</v>
      </c>
      <c r="O63" s="7">
        <f>N63</f>
        <v>1009.2094663278272</v>
      </c>
      <c r="Q63" s="7">
        <f>SUM(Q51:Q62)</f>
        <v>313.89999999999998</v>
      </c>
      <c r="R63" s="7"/>
    </row>
    <row r="64" spans="1:24" x14ac:dyDescent="0.25">
      <c r="A64" t="s">
        <v>107</v>
      </c>
      <c r="B64" s="9">
        <v>0.15</v>
      </c>
      <c r="C64" s="7">
        <f>C62*B64</f>
        <v>140.76141994917407</v>
      </c>
      <c r="D64" s="7">
        <f>C64</f>
        <v>140.76141994917407</v>
      </c>
      <c r="F64" s="7">
        <f>F62*B64</f>
        <v>35.159999999999997</v>
      </c>
      <c r="G64" s="7"/>
      <c r="N64" s="7"/>
    </row>
    <row r="65" spans="1:18" x14ac:dyDescent="0.25">
      <c r="A65" t="s">
        <v>165</v>
      </c>
      <c r="D65" s="7">
        <f>SUM(D62:D64)</f>
        <v>1079.1708862770013</v>
      </c>
      <c r="F65" s="7">
        <f>F62+F64</f>
        <v>269.56</v>
      </c>
      <c r="G65" s="7"/>
      <c r="M65" s="9">
        <v>0.15</v>
      </c>
      <c r="N65" s="7">
        <f>N63*M65</f>
        <v>151.38141994917407</v>
      </c>
      <c r="O65" s="7">
        <f>N65</f>
        <v>151.38141994917407</v>
      </c>
      <c r="Q65" s="7">
        <f>M65*Q63</f>
        <v>47.084999999999994</v>
      </c>
      <c r="R65" s="7"/>
    </row>
    <row r="66" spans="1:18" x14ac:dyDescent="0.25">
      <c r="A66" t="s">
        <v>215</v>
      </c>
      <c r="D66" s="7">
        <f>F65</f>
        <v>269.56</v>
      </c>
      <c r="O66" s="7">
        <f>SUM(O63:O65)</f>
        <v>1160.5908862770011</v>
      </c>
      <c r="Q66" s="7">
        <f>Q63+Q65</f>
        <v>360.98499999999996</v>
      </c>
      <c r="R66" s="7"/>
    </row>
    <row r="67" spans="1:18" x14ac:dyDescent="0.25">
      <c r="A67" t="s">
        <v>216</v>
      </c>
      <c r="D67" s="7">
        <f>D65-D66</f>
        <v>809.61088627700133</v>
      </c>
      <c r="O67" s="7">
        <f>Q66</f>
        <v>360.98499999999996</v>
      </c>
      <c r="Q67" s="7"/>
    </row>
    <row r="68" spans="1:18" x14ac:dyDescent="0.25">
      <c r="A68" t="s">
        <v>218</v>
      </c>
      <c r="D68" s="7">
        <f>G53</f>
        <v>25</v>
      </c>
      <c r="O68" s="7">
        <f>O66-O67</f>
        <v>799.60588627700122</v>
      </c>
      <c r="Q68" s="7"/>
    </row>
    <row r="69" spans="1:18" x14ac:dyDescent="0.25">
      <c r="A69" t="s">
        <v>219</v>
      </c>
      <c r="D69" s="7">
        <f>D67+D68</f>
        <v>834.61088627700133</v>
      </c>
      <c r="O69" s="7">
        <f>R54</f>
        <v>30</v>
      </c>
      <c r="Q69" s="7"/>
    </row>
    <row r="70" spans="1:18" x14ac:dyDescent="0.25">
      <c r="O70" s="7">
        <f>O68+O69</f>
        <v>829.60588627700122</v>
      </c>
      <c r="Q70" s="7"/>
    </row>
    <row r="72" spans="1:18" x14ac:dyDescent="0.25">
      <c r="Q72" s="7"/>
    </row>
    <row r="73" spans="1:18" x14ac:dyDescent="0.25">
      <c r="Q73" s="7"/>
    </row>
    <row r="74" spans="1:18" x14ac:dyDescent="0.25">
      <c r="Q74" s="7"/>
    </row>
    <row r="76" spans="1:18" x14ac:dyDescent="0.25">
      <c r="Q76" s="7"/>
    </row>
    <row r="77" spans="1:18" x14ac:dyDescent="0.25">
      <c r="Q77" s="7"/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" sqref="B3"/>
    </sheetView>
  </sheetViews>
  <sheetFormatPr defaultRowHeight="15" x14ac:dyDescent="0.25"/>
  <cols>
    <col min="1" max="1" width="16.5703125" customWidth="1"/>
  </cols>
  <sheetData>
    <row r="1" spans="1:5" x14ac:dyDescent="0.25">
      <c r="B1" s="26" t="s">
        <v>192</v>
      </c>
      <c r="C1" s="26"/>
      <c r="D1" s="26"/>
      <c r="E1" s="26"/>
    </row>
    <row r="2" spans="1:5" x14ac:dyDescent="0.25">
      <c r="A2" t="s">
        <v>18</v>
      </c>
      <c r="B2" s="21">
        <v>500</v>
      </c>
      <c r="C2" s="21">
        <v>750</v>
      </c>
      <c r="D2" s="21">
        <v>1000</v>
      </c>
      <c r="E2" s="21">
        <v>1250</v>
      </c>
    </row>
    <row r="3" spans="1:5" x14ac:dyDescent="0.25">
      <c r="A3" t="s">
        <v>189</v>
      </c>
      <c r="B3" s="5">
        <v>345</v>
      </c>
      <c r="C3" s="5">
        <v>330</v>
      </c>
      <c r="D3" s="5">
        <v>325</v>
      </c>
      <c r="E3" s="5">
        <v>320</v>
      </c>
    </row>
    <row r="4" spans="1:5" x14ac:dyDescent="0.25">
      <c r="A4" t="s">
        <v>190</v>
      </c>
      <c r="B4" s="5">
        <v>740</v>
      </c>
      <c r="C4" s="5">
        <v>720</v>
      </c>
      <c r="D4" s="5">
        <v>705</v>
      </c>
      <c r="E4" s="5">
        <v>700</v>
      </c>
    </row>
    <row r="5" spans="1:5" x14ac:dyDescent="0.25">
      <c r="A5" t="s">
        <v>191</v>
      </c>
      <c r="B5" s="5">
        <v>1185</v>
      </c>
      <c r="C5" s="5">
        <v>1155</v>
      </c>
      <c r="D5" s="5">
        <v>1140</v>
      </c>
      <c r="E5" s="5">
        <v>1130</v>
      </c>
    </row>
    <row r="6" spans="1:5" x14ac:dyDescent="0.25">
      <c r="A6">
        <v>500</v>
      </c>
      <c r="B6" s="5">
        <v>1270</v>
      </c>
      <c r="C6" s="5">
        <v>1235</v>
      </c>
      <c r="D6" s="5">
        <v>1210</v>
      </c>
      <c r="E6" s="5">
        <v>1205</v>
      </c>
    </row>
    <row r="7" spans="1:5" x14ac:dyDescent="0.25">
      <c r="A7">
        <v>750</v>
      </c>
      <c r="B7" s="5"/>
      <c r="C7" s="5">
        <v>1445</v>
      </c>
      <c r="D7" s="5">
        <v>1445</v>
      </c>
      <c r="E7" s="5">
        <v>1445</v>
      </c>
    </row>
    <row r="8" spans="1:5" x14ac:dyDescent="0.25">
      <c r="A8">
        <v>1000</v>
      </c>
      <c r="B8" s="5"/>
      <c r="C8" s="5"/>
      <c r="D8" s="5">
        <v>1980</v>
      </c>
      <c r="E8" s="5">
        <v>1980</v>
      </c>
    </row>
    <row r="9" spans="1:5" x14ac:dyDescent="0.25">
      <c r="A9">
        <v>1250</v>
      </c>
      <c r="B9" s="5"/>
      <c r="C9" s="5"/>
      <c r="D9" s="5"/>
      <c r="E9" s="5">
        <v>2205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Rates</vt:lpstr>
      <vt:lpstr>Preferred Scenerio</vt:lpstr>
      <vt:lpstr>Status Quo Scenerio</vt:lpstr>
      <vt:lpstr>1000 Capacity Scenerio</vt:lpstr>
      <vt:lpstr>750 Capacity Scenerio</vt:lpstr>
      <vt:lpstr>Bombers-1250</vt:lpstr>
      <vt:lpstr>Bobmers 1000</vt:lpstr>
      <vt:lpstr>Bomber - 750</vt:lpstr>
      <vt:lpstr>Bobmers - 500</vt:lpstr>
      <vt:lpstr>Pricing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MCohoe</dc:creator>
  <cp:lastModifiedBy>MCohoe</cp:lastModifiedBy>
  <cp:lastPrinted>2014-03-11T09:51:52Z</cp:lastPrinted>
  <dcterms:created xsi:type="dcterms:W3CDTF">2014-03-08T10:17:04Z</dcterms:created>
  <dcterms:modified xsi:type="dcterms:W3CDTF">2014-03-19T09:10:56Z</dcterms:modified>
</cp:coreProperties>
</file>